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 firstSheet="3" activeTab="3"/>
  </bookViews>
  <sheets>
    <sheet name="MARZO" sheetId="6" r:id="rId1"/>
    <sheet name="BC Balance Comprobación" sheetId="2" r:id="rId2"/>
    <sheet name="Hoja1" sheetId="7" state="hidden" r:id="rId3"/>
    <sheet name=" ERF-Rendimiento Financiero" sheetId="3" r:id="rId4"/>
    <sheet name="EFE-Flujo de Efectivo" sheetId="4" r:id="rId5"/>
    <sheet name="ECANP-Cambio Patrimonio" sheetId="5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3" hidden="1">' ERF-Rendimiento Financiero'!$A$5:$K$35</definedName>
    <definedName name="_xlnm._FilterDatabase" localSheetId="1" hidden="1">'BC Balance Comprobación'!$A$11:$Y$164</definedName>
    <definedName name="_xlnm._FilterDatabase" localSheetId="5" hidden="1">'ECANP-Cambio Patrimonio'!$C$7:$I$23</definedName>
    <definedName name="_xlnm._FilterDatabase" localSheetId="4" hidden="1">'EFE-Flujo de Efectivo'!$A$5:$H$66</definedName>
    <definedName name="_xlnm._FilterDatabase" localSheetId="0" hidden="1">MARZO!$A$2:$C$36</definedName>
    <definedName name="_xlnm.Print_Area" localSheetId="3">' ERF-Rendimiento Financiero'!$C$1:$H$47</definedName>
    <definedName name="_xlnm.Print_Area" localSheetId="1">'BC Balance Comprobación'!$C$5:$F$163</definedName>
    <definedName name="_xlnm.Print_Area" localSheetId="5">'ECANP-Cambio Patrimonio'!$A$1:$I$31</definedName>
    <definedName name="_xlnm.Print_Area" localSheetId="4">'EFE-Flujo de Efectivo'!$A$1:$J$73</definedName>
    <definedName name="MyExchangeRate">#REF!</definedName>
    <definedName name="_xlnm.Print_Titles" localSheetId="1">'BC Balance Comprobación'!$5:$11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5" l="1"/>
  <c r="J11" i="7"/>
  <c r="I14" i="7"/>
  <c r="F8" i="3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4" i="2"/>
  <c r="T35" i="2"/>
  <c r="T36" i="2"/>
  <c r="T37" i="2"/>
  <c r="E168" i="2"/>
  <c r="H9" i="2"/>
  <c r="G14" i="7"/>
  <c r="G12" i="7"/>
  <c r="E12" i="7"/>
  <c r="H11" i="7"/>
  <c r="G8" i="7"/>
  <c r="I8" i="7" s="1"/>
  <c r="G9" i="7"/>
  <c r="I9" i="7"/>
  <c r="I7" i="7"/>
  <c r="I10" i="7" s="1"/>
  <c r="G7" i="7"/>
  <c r="G27" i="2"/>
  <c r="F11" i="7" s="1"/>
  <c r="F12" i="7" s="1"/>
  <c r="G29" i="2"/>
  <c r="G28" i="2"/>
  <c r="C59" i="4" l="1"/>
  <c r="C44" i="4"/>
  <c r="C61" i="4" l="1"/>
  <c r="C63" i="4" s="1"/>
  <c r="C10" i="4" l="1"/>
  <c r="C9" i="4"/>
  <c r="C20" i="4" l="1"/>
  <c r="C18" i="4"/>
  <c r="C17" i="4"/>
  <c r="F14" i="3"/>
  <c r="C16" i="4"/>
  <c r="C14" i="4"/>
  <c r="H12" i="5"/>
  <c r="H8" i="5"/>
  <c r="F11" i="3"/>
  <c r="F23" i="6"/>
  <c r="F5" i="6"/>
  <c r="W2" i="2"/>
  <c r="F16" i="3"/>
  <c r="F17" i="3"/>
  <c r="F15" i="3"/>
  <c r="F9" i="3"/>
  <c r="F10" i="3"/>
  <c r="E41" i="6"/>
  <c r="C37" i="6"/>
  <c r="D37" i="6" s="1"/>
  <c r="B37" i="6"/>
  <c r="D36" i="6"/>
  <c r="D35" i="6"/>
  <c r="E35" i="6" s="1"/>
  <c r="D34" i="6"/>
  <c r="E34" i="6" s="1"/>
  <c r="D33" i="6"/>
  <c r="D32" i="6"/>
  <c r="D31" i="6"/>
  <c r="D30" i="6"/>
  <c r="D29" i="6"/>
  <c r="E28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E13" i="6"/>
  <c r="D13" i="6"/>
  <c r="D12" i="6"/>
  <c r="D11" i="6"/>
  <c r="E10" i="6"/>
  <c r="D10" i="6"/>
  <c r="D9" i="6"/>
  <c r="E9" i="6" s="1"/>
  <c r="D8" i="6"/>
  <c r="D7" i="6"/>
  <c r="D6" i="6"/>
  <c r="E6" i="6" s="1"/>
  <c r="D5" i="6"/>
  <c r="D4" i="6"/>
  <c r="D3" i="6"/>
  <c r="E3" i="6" s="1"/>
  <c r="E37" i="6" l="1"/>
  <c r="E40" i="6"/>
  <c r="E42" i="6" s="1"/>
  <c r="H17" i="5" l="1"/>
  <c r="H16" i="5"/>
  <c r="H15" i="5"/>
  <c r="G13" i="5"/>
  <c r="F13" i="5"/>
  <c r="F20" i="5" s="1"/>
  <c r="E13" i="5"/>
  <c r="E20" i="5" s="1"/>
  <c r="D13" i="5"/>
  <c r="D14" i="5" s="1"/>
  <c r="D20" i="5" s="1"/>
  <c r="D31" i="2" s="1"/>
  <c r="J31" i="2" s="1"/>
  <c r="N31" i="2" s="1"/>
  <c r="H9" i="5"/>
  <c r="A1" i="4"/>
  <c r="A3" i="4"/>
  <c r="C5" i="4"/>
  <c r="E5" i="4"/>
  <c r="H7" i="4"/>
  <c r="H8" i="4"/>
  <c r="E9" i="4"/>
  <c r="H9" i="4" s="1"/>
  <c r="I9" i="4"/>
  <c r="M9" i="4" s="1"/>
  <c r="H10" i="4"/>
  <c r="E10" i="4"/>
  <c r="I10" i="4"/>
  <c r="O10" i="4"/>
  <c r="H11" i="4"/>
  <c r="H12" i="4"/>
  <c r="H13" i="4"/>
  <c r="E14" i="4"/>
  <c r="H14" i="4"/>
  <c r="M14" i="4"/>
  <c r="H16" i="4"/>
  <c r="H17" i="4"/>
  <c r="H18" i="4"/>
  <c r="C19" i="4"/>
  <c r="H19" i="4"/>
  <c r="H20" i="4"/>
  <c r="H21" i="4"/>
  <c r="H22" i="4"/>
  <c r="H23" i="4"/>
  <c r="F26" i="4"/>
  <c r="G26" i="4"/>
  <c r="J26" i="4"/>
  <c r="K26" i="4"/>
  <c r="L26" i="4"/>
  <c r="H29" i="4"/>
  <c r="H44" i="4" s="1"/>
  <c r="H30" i="4"/>
  <c r="H31" i="4"/>
  <c r="H32" i="4"/>
  <c r="H33" i="4"/>
  <c r="H34" i="4"/>
  <c r="H36" i="4"/>
  <c r="H37" i="4"/>
  <c r="H38" i="4"/>
  <c r="H39" i="4"/>
  <c r="H40" i="4"/>
  <c r="H41" i="4"/>
  <c r="H42" i="4"/>
  <c r="E44" i="4"/>
  <c r="F44" i="4"/>
  <c r="F61" i="4" s="1"/>
  <c r="G44" i="4"/>
  <c r="I44" i="4"/>
  <c r="J44" i="4"/>
  <c r="J61" i="4" s="1"/>
  <c r="J63" i="4" s="1"/>
  <c r="M66" i="4" s="1"/>
  <c r="K44" i="4"/>
  <c r="L44" i="4"/>
  <c r="H46" i="4"/>
  <c r="H47" i="4"/>
  <c r="M47" i="4"/>
  <c r="H48" i="4"/>
  <c r="H49" i="4"/>
  <c r="H50" i="4"/>
  <c r="H51" i="4"/>
  <c r="H53" i="4"/>
  <c r="M53" i="4"/>
  <c r="O53" i="4" s="1"/>
  <c r="H55" i="4"/>
  <c r="H57" i="4"/>
  <c r="H58" i="4"/>
  <c r="E59" i="4"/>
  <c r="F59" i="4"/>
  <c r="G59" i="4"/>
  <c r="I59" i="4"/>
  <c r="J59" i="4"/>
  <c r="K59" i="4"/>
  <c r="L59" i="4"/>
  <c r="D61" i="4"/>
  <c r="H62" i="4"/>
  <c r="C1" i="3"/>
  <c r="C3" i="3"/>
  <c r="H5" i="3"/>
  <c r="F7" i="3"/>
  <c r="K7" i="3" s="1"/>
  <c r="H7" i="3"/>
  <c r="H8" i="3"/>
  <c r="K8" i="3" s="1"/>
  <c r="K9" i="3"/>
  <c r="H9" i="3"/>
  <c r="K10" i="3"/>
  <c r="H10" i="3"/>
  <c r="H11" i="3"/>
  <c r="H27" i="3" s="1"/>
  <c r="F21" i="3"/>
  <c r="K21" i="3" s="1"/>
  <c r="H14" i="3"/>
  <c r="K14" i="3"/>
  <c r="K15" i="3"/>
  <c r="H15" i="3"/>
  <c r="K16" i="3"/>
  <c r="H16" i="3"/>
  <c r="H17" i="3"/>
  <c r="K17" i="3" s="1"/>
  <c r="F18" i="3"/>
  <c r="H18" i="3"/>
  <c r="K18" i="3"/>
  <c r="F19" i="3"/>
  <c r="K19" i="3" s="1"/>
  <c r="H19" i="3"/>
  <c r="F20" i="3"/>
  <c r="K20" i="3" s="1"/>
  <c r="H20" i="3"/>
  <c r="H21" i="3"/>
  <c r="K22" i="3"/>
  <c r="K23" i="3"/>
  <c r="K24" i="3"/>
  <c r="K25" i="3"/>
  <c r="K29" i="3"/>
  <c r="K30" i="3"/>
  <c r="K31" i="3"/>
  <c r="F32" i="3"/>
  <c r="K32" i="3" s="1"/>
  <c r="H32" i="3"/>
  <c r="W180" i="2"/>
  <c r="W179" i="2"/>
  <c r="W178" i="2"/>
  <c r="W177" i="2"/>
  <c r="W176" i="2"/>
  <c r="W175" i="2"/>
  <c r="W174" i="2"/>
  <c r="W173" i="2"/>
  <c r="J173" i="2"/>
  <c r="W172" i="2"/>
  <c r="J172" i="2"/>
  <c r="W171" i="2"/>
  <c r="J171" i="2"/>
  <c r="W170" i="2"/>
  <c r="J170" i="2"/>
  <c r="W169" i="2"/>
  <c r="J169" i="2"/>
  <c r="W168" i="2"/>
  <c r="J168" i="2"/>
  <c r="W167" i="2"/>
  <c r="J167" i="2"/>
  <c r="W166" i="2"/>
  <c r="J166" i="2"/>
  <c r="W165" i="2"/>
  <c r="U165" i="2"/>
  <c r="J165" i="2"/>
  <c r="K164" i="2"/>
  <c r="N164" i="2" s="1"/>
  <c r="J164" i="2"/>
  <c r="U163" i="2"/>
  <c r="J163" i="2"/>
  <c r="M162" i="2"/>
  <c r="J162" i="2"/>
  <c r="I162" i="2"/>
  <c r="E162" i="2"/>
  <c r="N161" i="2"/>
  <c r="X161" i="2" s="1"/>
  <c r="M161" i="2"/>
  <c r="J161" i="2"/>
  <c r="I161" i="2"/>
  <c r="M160" i="2"/>
  <c r="J160" i="2"/>
  <c r="I160" i="2"/>
  <c r="M159" i="2"/>
  <c r="J159" i="2"/>
  <c r="N159" i="2" s="1"/>
  <c r="I159" i="2"/>
  <c r="M158" i="2"/>
  <c r="J158" i="2"/>
  <c r="N158" i="2" s="1"/>
  <c r="I158" i="2"/>
  <c r="M157" i="2"/>
  <c r="N157" i="2" s="1"/>
  <c r="J157" i="2"/>
  <c r="I157" i="2"/>
  <c r="M156" i="2"/>
  <c r="J156" i="2"/>
  <c r="I156" i="2"/>
  <c r="U155" i="2"/>
  <c r="N155" i="2"/>
  <c r="X155" i="2" s="1"/>
  <c r="M155" i="2"/>
  <c r="J155" i="2"/>
  <c r="M154" i="2"/>
  <c r="J154" i="2"/>
  <c r="U153" i="2"/>
  <c r="M153" i="2"/>
  <c r="J153" i="2"/>
  <c r="N153" i="2" s="1"/>
  <c r="AA152" i="2"/>
  <c r="M152" i="2"/>
  <c r="J152" i="2"/>
  <c r="I152" i="2"/>
  <c r="AA151" i="2"/>
  <c r="M151" i="2"/>
  <c r="J151" i="2"/>
  <c r="I151" i="2"/>
  <c r="AA150" i="2"/>
  <c r="M150" i="2"/>
  <c r="J150" i="2"/>
  <c r="I150" i="2"/>
  <c r="AA149" i="2"/>
  <c r="M149" i="2"/>
  <c r="J149" i="2"/>
  <c r="I149" i="2"/>
  <c r="AA148" i="2"/>
  <c r="M148" i="2"/>
  <c r="J148" i="2"/>
  <c r="I148" i="2"/>
  <c r="AA147" i="2"/>
  <c r="M147" i="2"/>
  <c r="J147" i="2"/>
  <c r="I147" i="2"/>
  <c r="AA146" i="2"/>
  <c r="M146" i="2"/>
  <c r="J146" i="2"/>
  <c r="N146" i="2" s="1"/>
  <c r="W146" i="2" s="1"/>
  <c r="I146" i="2"/>
  <c r="AA145" i="2"/>
  <c r="M145" i="2"/>
  <c r="J145" i="2"/>
  <c r="N145" i="2" s="1"/>
  <c r="I145" i="2"/>
  <c r="AA144" i="2"/>
  <c r="M144" i="2"/>
  <c r="J144" i="2"/>
  <c r="N144" i="2" s="1"/>
  <c r="I144" i="2"/>
  <c r="AA143" i="2"/>
  <c r="M143" i="2"/>
  <c r="J143" i="2"/>
  <c r="N143" i="2" s="1"/>
  <c r="AA142" i="2"/>
  <c r="M142" i="2"/>
  <c r="J142" i="2"/>
  <c r="I142" i="2"/>
  <c r="AA141" i="2"/>
  <c r="M141" i="2"/>
  <c r="J141" i="2"/>
  <c r="N141" i="2" s="1"/>
  <c r="W141" i="2" s="1"/>
  <c r="I141" i="2"/>
  <c r="AA140" i="2"/>
  <c r="M140" i="2"/>
  <c r="N140" i="2" s="1"/>
  <c r="J140" i="2"/>
  <c r="I140" i="2"/>
  <c r="AA139" i="2"/>
  <c r="M139" i="2"/>
  <c r="J139" i="2"/>
  <c r="AA138" i="2"/>
  <c r="M138" i="2"/>
  <c r="J138" i="2"/>
  <c r="N138" i="2" s="1"/>
  <c r="I138" i="2"/>
  <c r="AA137" i="2"/>
  <c r="M137" i="2"/>
  <c r="J137" i="2"/>
  <c r="N137" i="2" s="1"/>
  <c r="I137" i="2"/>
  <c r="AA136" i="2"/>
  <c r="M136" i="2"/>
  <c r="J136" i="2"/>
  <c r="I136" i="2"/>
  <c r="AA135" i="2"/>
  <c r="M135" i="2"/>
  <c r="J135" i="2"/>
  <c r="N135" i="2" s="1"/>
  <c r="O135" i="2" s="1"/>
  <c r="I135" i="2"/>
  <c r="AA134" i="2"/>
  <c r="M134" i="2"/>
  <c r="J134" i="2"/>
  <c r="I134" i="2"/>
  <c r="AA133" i="2"/>
  <c r="M133" i="2"/>
  <c r="J133" i="2"/>
  <c r="I133" i="2"/>
  <c r="AA132" i="2"/>
  <c r="M132" i="2"/>
  <c r="N132" i="2" s="1"/>
  <c r="AA131" i="2"/>
  <c r="M131" i="2"/>
  <c r="J131" i="2"/>
  <c r="N131" i="2" s="1"/>
  <c r="I131" i="2"/>
  <c r="AA130" i="2"/>
  <c r="M130" i="2"/>
  <c r="J130" i="2"/>
  <c r="I130" i="2"/>
  <c r="AA129" i="2"/>
  <c r="M129" i="2"/>
  <c r="J129" i="2"/>
  <c r="N129" i="2" s="1"/>
  <c r="O129" i="2" s="1"/>
  <c r="I129" i="2"/>
  <c r="AA128" i="2"/>
  <c r="M128" i="2"/>
  <c r="J128" i="2"/>
  <c r="N128" i="2" s="1"/>
  <c r="I128" i="2"/>
  <c r="AA127" i="2"/>
  <c r="M127" i="2"/>
  <c r="J127" i="2"/>
  <c r="N127" i="2" s="1"/>
  <c r="I127" i="2"/>
  <c r="AA126" i="2"/>
  <c r="M126" i="2"/>
  <c r="J126" i="2"/>
  <c r="I126" i="2"/>
  <c r="AA125" i="2"/>
  <c r="M125" i="2"/>
  <c r="J125" i="2"/>
  <c r="N125" i="2" s="1"/>
  <c r="O125" i="2" s="1"/>
  <c r="I125" i="2"/>
  <c r="AA124" i="2"/>
  <c r="M124" i="2"/>
  <c r="J124" i="2"/>
  <c r="I124" i="2"/>
  <c r="AA123" i="2"/>
  <c r="M123" i="2"/>
  <c r="J123" i="2"/>
  <c r="I123" i="2"/>
  <c r="AA122" i="2"/>
  <c r="M122" i="2"/>
  <c r="N122" i="2" s="1"/>
  <c r="AA121" i="2"/>
  <c r="M121" i="2"/>
  <c r="J121" i="2"/>
  <c r="N121" i="2" s="1"/>
  <c r="I121" i="2"/>
  <c r="AA120" i="2"/>
  <c r="M120" i="2"/>
  <c r="J120" i="2"/>
  <c r="I120" i="2"/>
  <c r="AA119" i="2"/>
  <c r="M119" i="2"/>
  <c r="J119" i="2"/>
  <c r="N119" i="2" s="1"/>
  <c r="I119" i="2"/>
  <c r="AA118" i="2"/>
  <c r="M118" i="2"/>
  <c r="J118" i="2"/>
  <c r="I118" i="2"/>
  <c r="AA117" i="2"/>
  <c r="M117" i="2"/>
  <c r="J117" i="2"/>
  <c r="I117" i="2"/>
  <c r="AA116" i="2"/>
  <c r="M116" i="2"/>
  <c r="N116" i="2" s="1"/>
  <c r="AA115" i="2"/>
  <c r="M115" i="2"/>
  <c r="J115" i="2"/>
  <c r="N115" i="2" s="1"/>
  <c r="I115" i="2"/>
  <c r="AA114" i="2"/>
  <c r="M114" i="2"/>
  <c r="J114" i="2"/>
  <c r="N114" i="2" s="1"/>
  <c r="P114" i="2" s="1"/>
  <c r="I114" i="2"/>
  <c r="AA113" i="2"/>
  <c r="M113" i="2"/>
  <c r="J113" i="2"/>
  <c r="I113" i="2"/>
  <c r="AA112" i="2"/>
  <c r="M112" i="2"/>
  <c r="J112" i="2"/>
  <c r="I112" i="2"/>
  <c r="AA111" i="2"/>
  <c r="N111" i="2"/>
  <c r="M111" i="2"/>
  <c r="AA110" i="2"/>
  <c r="M110" i="2"/>
  <c r="J110" i="2"/>
  <c r="N110" i="2" s="1"/>
  <c r="I110" i="2"/>
  <c r="AA109" i="2"/>
  <c r="M109" i="2"/>
  <c r="J109" i="2"/>
  <c r="I109" i="2"/>
  <c r="AA108" i="2"/>
  <c r="M108" i="2"/>
  <c r="J108" i="2"/>
  <c r="I108" i="2"/>
  <c r="AA107" i="2"/>
  <c r="M107" i="2"/>
  <c r="N107" i="2" s="1"/>
  <c r="W107" i="2" s="1"/>
  <c r="AA106" i="2"/>
  <c r="M106" i="2"/>
  <c r="J106" i="2"/>
  <c r="I106" i="2"/>
  <c r="AA105" i="2"/>
  <c r="M105" i="2"/>
  <c r="I105" i="2"/>
  <c r="J105" i="2"/>
  <c r="AA104" i="2"/>
  <c r="M104" i="2"/>
  <c r="N104" i="2" s="1"/>
  <c r="AA103" i="2"/>
  <c r="M103" i="2"/>
  <c r="N103" i="2" s="1"/>
  <c r="O103" i="2" s="1"/>
  <c r="M102" i="2"/>
  <c r="J102" i="2"/>
  <c r="N102" i="2" s="1"/>
  <c r="I102" i="2"/>
  <c r="M101" i="2"/>
  <c r="J101" i="2"/>
  <c r="N101" i="2" s="1"/>
  <c r="O101" i="2" s="1"/>
  <c r="I101" i="2"/>
  <c r="M100" i="2"/>
  <c r="J100" i="2"/>
  <c r="N100" i="2" s="1"/>
  <c r="P100" i="2" s="1"/>
  <c r="I100" i="2"/>
  <c r="M99" i="2"/>
  <c r="J99" i="2"/>
  <c r="I99" i="2"/>
  <c r="M98" i="2"/>
  <c r="J98" i="2"/>
  <c r="N98" i="2" s="1"/>
  <c r="I98" i="2"/>
  <c r="M97" i="2"/>
  <c r="J97" i="2"/>
  <c r="N97" i="2" s="1"/>
  <c r="O97" i="2" s="1"/>
  <c r="W97" i="2" s="1"/>
  <c r="I97" i="2"/>
  <c r="M96" i="2"/>
  <c r="J96" i="2"/>
  <c r="I96" i="2"/>
  <c r="M95" i="2"/>
  <c r="J95" i="2"/>
  <c r="N95" i="2" s="1"/>
  <c r="I95" i="2"/>
  <c r="N94" i="2"/>
  <c r="M94" i="2"/>
  <c r="J94" i="2"/>
  <c r="I94" i="2"/>
  <c r="M93" i="2"/>
  <c r="J93" i="2"/>
  <c r="N93" i="2" s="1"/>
  <c r="O93" i="2" s="1"/>
  <c r="W93" i="2" s="1"/>
  <c r="I93" i="2"/>
  <c r="M92" i="2"/>
  <c r="J92" i="2"/>
  <c r="I92" i="2"/>
  <c r="M91" i="2"/>
  <c r="N91" i="2" s="1"/>
  <c r="P91" i="2" s="1"/>
  <c r="M90" i="2"/>
  <c r="J90" i="2"/>
  <c r="N90" i="2" s="1"/>
  <c r="O90" i="2" s="1"/>
  <c r="W90" i="2" s="1"/>
  <c r="I90" i="2"/>
  <c r="M89" i="2"/>
  <c r="J89" i="2"/>
  <c r="N89" i="2" s="1"/>
  <c r="P89" i="2" s="1"/>
  <c r="I89" i="2"/>
  <c r="M88" i="2"/>
  <c r="J88" i="2"/>
  <c r="I88" i="2"/>
  <c r="M87" i="2"/>
  <c r="J87" i="2"/>
  <c r="I87" i="2"/>
  <c r="M86" i="2"/>
  <c r="J86" i="2"/>
  <c r="N86" i="2" s="1"/>
  <c r="O86" i="2" s="1"/>
  <c r="I86" i="2"/>
  <c r="M85" i="2"/>
  <c r="J85" i="2"/>
  <c r="N85" i="2" s="1"/>
  <c r="P85" i="2" s="1"/>
  <c r="I85" i="2"/>
  <c r="M84" i="2"/>
  <c r="N84" i="2" s="1"/>
  <c r="M83" i="2"/>
  <c r="J83" i="2"/>
  <c r="N83" i="2" s="1"/>
  <c r="P83" i="2" s="1"/>
  <c r="I83" i="2"/>
  <c r="M82" i="2"/>
  <c r="J82" i="2"/>
  <c r="I82" i="2"/>
  <c r="M81" i="2"/>
  <c r="N81" i="2" s="1"/>
  <c r="P80" i="2"/>
  <c r="M80" i="2"/>
  <c r="J80" i="2"/>
  <c r="N80" i="2" s="1"/>
  <c r="I80" i="2"/>
  <c r="M79" i="2"/>
  <c r="J79" i="2"/>
  <c r="I79" i="2"/>
  <c r="M78" i="2"/>
  <c r="N78" i="2" s="1"/>
  <c r="J78" i="2"/>
  <c r="I78" i="2"/>
  <c r="M77" i="2"/>
  <c r="N77" i="2" s="1"/>
  <c r="M76" i="2"/>
  <c r="J76" i="2"/>
  <c r="I76" i="2"/>
  <c r="M75" i="2"/>
  <c r="J75" i="2"/>
  <c r="I75" i="2"/>
  <c r="N74" i="2"/>
  <c r="M74" i="2"/>
  <c r="M73" i="2"/>
  <c r="J73" i="2"/>
  <c r="I73" i="2"/>
  <c r="M72" i="2"/>
  <c r="J72" i="2"/>
  <c r="I72" i="2"/>
  <c r="N71" i="2"/>
  <c r="M71" i="2"/>
  <c r="M70" i="2"/>
  <c r="J70" i="2"/>
  <c r="I70" i="2"/>
  <c r="M69" i="2"/>
  <c r="J69" i="2"/>
  <c r="N69" i="2" s="1"/>
  <c r="I69" i="2"/>
  <c r="M68" i="2"/>
  <c r="N68" i="2" s="1"/>
  <c r="M67" i="2"/>
  <c r="J67" i="2"/>
  <c r="I67" i="2"/>
  <c r="M66" i="2"/>
  <c r="J66" i="2"/>
  <c r="N66" i="2" s="1"/>
  <c r="I66" i="2"/>
  <c r="M65" i="2"/>
  <c r="J65" i="2"/>
  <c r="N65" i="2" s="1"/>
  <c r="I65" i="2"/>
  <c r="M64" i="2"/>
  <c r="J64" i="2"/>
  <c r="N64" i="2" s="1"/>
  <c r="P64" i="2" s="1"/>
  <c r="I64" i="2"/>
  <c r="M63" i="2"/>
  <c r="J63" i="2"/>
  <c r="I63" i="2"/>
  <c r="M62" i="2"/>
  <c r="N62" i="2" s="1"/>
  <c r="O62" i="2" s="1"/>
  <c r="Y62" i="2" s="1"/>
  <c r="N61" i="2"/>
  <c r="P61" i="2" s="1"/>
  <c r="M61" i="2"/>
  <c r="N60" i="2"/>
  <c r="M60" i="2"/>
  <c r="J60" i="2"/>
  <c r="I60" i="2"/>
  <c r="M59" i="2"/>
  <c r="J59" i="2"/>
  <c r="I59" i="2"/>
  <c r="M58" i="2"/>
  <c r="J58" i="2"/>
  <c r="N58" i="2" s="1"/>
  <c r="I58" i="2"/>
  <c r="M57" i="2"/>
  <c r="N57" i="2" s="1"/>
  <c r="O57" i="2" s="1"/>
  <c r="M56" i="2"/>
  <c r="J56" i="2"/>
  <c r="N56" i="2" s="1"/>
  <c r="I56" i="2"/>
  <c r="M55" i="2"/>
  <c r="N55" i="2" s="1"/>
  <c r="M54" i="2"/>
  <c r="J54" i="2"/>
  <c r="N54" i="2" s="1"/>
  <c r="I54" i="2"/>
  <c r="M53" i="2"/>
  <c r="J53" i="2"/>
  <c r="N53" i="2" s="1"/>
  <c r="I53" i="2"/>
  <c r="M52" i="2"/>
  <c r="J52" i="2"/>
  <c r="N52" i="2" s="1"/>
  <c r="O52" i="2" s="1"/>
  <c r="I52" i="2"/>
  <c r="M51" i="2"/>
  <c r="N51" i="2" s="1"/>
  <c r="M50" i="2"/>
  <c r="J50" i="2"/>
  <c r="I50" i="2"/>
  <c r="M49" i="2"/>
  <c r="J49" i="2"/>
  <c r="N49" i="2" s="1"/>
  <c r="T49" i="2" s="1"/>
  <c r="I49" i="2"/>
  <c r="M48" i="2"/>
  <c r="J48" i="2"/>
  <c r="N48" i="2" s="1"/>
  <c r="I48" i="2"/>
  <c r="M47" i="2"/>
  <c r="J47" i="2"/>
  <c r="N47" i="2" s="1"/>
  <c r="T47" i="2" s="1"/>
  <c r="I47" i="2"/>
  <c r="M46" i="2"/>
  <c r="J46" i="2"/>
  <c r="I46" i="2"/>
  <c r="M45" i="2"/>
  <c r="I45" i="2"/>
  <c r="J45" i="2"/>
  <c r="P44" i="2"/>
  <c r="N44" i="2"/>
  <c r="T44" i="2" s="1"/>
  <c r="Y44" i="2" s="1"/>
  <c r="T43" i="2"/>
  <c r="Y43" i="2" s="1"/>
  <c r="P43" i="2"/>
  <c r="N43" i="2"/>
  <c r="S43" i="2" s="1"/>
  <c r="T42" i="2"/>
  <c r="Y42" i="2" s="1"/>
  <c r="N42" i="2"/>
  <c r="P42" i="2" s="1"/>
  <c r="S42" i="2" s="1"/>
  <c r="N41" i="2"/>
  <c r="T41" i="2" s="1"/>
  <c r="Y41" i="2" s="1"/>
  <c r="M41" i="2"/>
  <c r="J40" i="2"/>
  <c r="N40" i="2" s="1"/>
  <c r="I40" i="2"/>
  <c r="M38" i="2"/>
  <c r="J38" i="2"/>
  <c r="M37" i="2"/>
  <c r="J37" i="2"/>
  <c r="N37" i="2" s="1"/>
  <c r="J36" i="2"/>
  <c r="N36" i="2" s="1"/>
  <c r="J35" i="2"/>
  <c r="N35" i="2" s="1"/>
  <c r="J34" i="2"/>
  <c r="N34" i="2" s="1"/>
  <c r="O34" i="2" s="1"/>
  <c r="I34" i="2"/>
  <c r="M33" i="2"/>
  <c r="I33" i="2"/>
  <c r="M32" i="2"/>
  <c r="I32" i="2"/>
  <c r="M31" i="2"/>
  <c r="P30" i="2"/>
  <c r="S30" i="2" s="1"/>
  <c r="N30" i="2"/>
  <c r="P29" i="2"/>
  <c r="N29" i="2"/>
  <c r="M28" i="2"/>
  <c r="J28" i="2"/>
  <c r="I28" i="2"/>
  <c r="J27" i="2"/>
  <c r="N27" i="2" s="1"/>
  <c r="I27" i="2"/>
  <c r="N26" i="2"/>
  <c r="P26" i="2" s="1"/>
  <c r="S26" i="2" s="1"/>
  <c r="P25" i="2"/>
  <c r="S25" i="2" s="1"/>
  <c r="N25" i="2"/>
  <c r="N24" i="2"/>
  <c r="P24" i="2" s="1"/>
  <c r="J24" i="2"/>
  <c r="I24" i="2"/>
  <c r="J23" i="2"/>
  <c r="N23" i="2" s="1"/>
  <c r="I23" i="2"/>
  <c r="Q22" i="2"/>
  <c r="J22" i="2"/>
  <c r="I22" i="2"/>
  <c r="F168" i="2"/>
  <c r="M21" i="2"/>
  <c r="J21" i="2"/>
  <c r="I21" i="2"/>
  <c r="Q20" i="2"/>
  <c r="Q2" i="2" s="1"/>
  <c r="J20" i="2"/>
  <c r="N20" i="2" s="1"/>
  <c r="M19" i="2"/>
  <c r="J19" i="2"/>
  <c r="N19" i="2" s="1"/>
  <c r="O19" i="2" s="1"/>
  <c r="I19" i="2"/>
  <c r="J18" i="2"/>
  <c r="N18" i="2" s="1"/>
  <c r="I18" i="2"/>
  <c r="N17" i="2"/>
  <c r="S17" i="2" s="1"/>
  <c r="S16" i="2"/>
  <c r="H16" i="2"/>
  <c r="N15" i="2"/>
  <c r="S15" i="2" s="1"/>
  <c r="M14" i="2"/>
  <c r="J14" i="2"/>
  <c r="H14" i="2"/>
  <c r="S13" i="2"/>
  <c r="H13" i="2"/>
  <c r="S12" i="2"/>
  <c r="F9" i="2"/>
  <c r="L2" i="2"/>
  <c r="L3" i="2" s="1"/>
  <c r="K2" i="2"/>
  <c r="F2" i="2"/>
  <c r="E2" i="2"/>
  <c r="D2" i="2"/>
  <c r="K61" i="4" l="1"/>
  <c r="K63" i="4" s="1"/>
  <c r="L61" i="4"/>
  <c r="L63" i="4" s="1"/>
  <c r="G61" i="4"/>
  <c r="H54" i="4" s="1"/>
  <c r="D32" i="2"/>
  <c r="J32" i="2" s="1"/>
  <c r="I26" i="4"/>
  <c r="I61" i="4" s="1"/>
  <c r="I63" i="4" s="1"/>
  <c r="H13" i="5"/>
  <c r="N108" i="2"/>
  <c r="W108" i="2" s="1"/>
  <c r="N87" i="2"/>
  <c r="P87" i="2" s="1"/>
  <c r="O37" i="2"/>
  <c r="W101" i="2"/>
  <c r="Y101" i="2"/>
  <c r="W110" i="2"/>
  <c r="O110" i="2"/>
  <c r="U110" i="2" s="1"/>
  <c r="W140" i="2"/>
  <c r="O140" i="2"/>
  <c r="S140" i="2" s="1"/>
  <c r="W86" i="2"/>
  <c r="Y86" i="2"/>
  <c r="W145" i="2"/>
  <c r="O145" i="2"/>
  <c r="Y145" i="2" s="1"/>
  <c r="O64" i="2"/>
  <c r="W64" i="2" s="1"/>
  <c r="N112" i="2"/>
  <c r="N120" i="2"/>
  <c r="N130" i="2"/>
  <c r="W130" i="2" s="1"/>
  <c r="N142" i="2"/>
  <c r="N32" i="2"/>
  <c r="P32" i="2" s="1"/>
  <c r="N105" i="2"/>
  <c r="P105" i="2" s="1"/>
  <c r="S29" i="2"/>
  <c r="N38" i="2"/>
  <c r="N50" i="2"/>
  <c r="N59" i="2"/>
  <c r="O59" i="2" s="1"/>
  <c r="N72" i="2"/>
  <c r="O72" i="2" s="1"/>
  <c r="N75" i="2"/>
  <c r="N79" i="2"/>
  <c r="O79" i="2" s="1"/>
  <c r="N106" i="2"/>
  <c r="N109" i="2"/>
  <c r="W109" i="2" s="1"/>
  <c r="N117" i="2"/>
  <c r="N118" i="2"/>
  <c r="O118" i="2" s="1"/>
  <c r="N123" i="2"/>
  <c r="N124" i="2"/>
  <c r="O124" i="2" s="1"/>
  <c r="Y124" i="2" s="1"/>
  <c r="N133" i="2"/>
  <c r="N134" i="2"/>
  <c r="N139" i="2"/>
  <c r="S139" i="2" s="1"/>
  <c r="N154" i="2"/>
  <c r="O154" i="2" s="1"/>
  <c r="Y154" i="2" s="1"/>
  <c r="N147" i="2"/>
  <c r="N148" i="2"/>
  <c r="N149" i="2"/>
  <c r="S149" i="2" s="1"/>
  <c r="N150" i="2"/>
  <c r="S150" i="2" s="1"/>
  <c r="N151" i="2"/>
  <c r="N152" i="2"/>
  <c r="N14" i="2"/>
  <c r="N28" i="2"/>
  <c r="P28" i="2" s="1"/>
  <c r="N45" i="2"/>
  <c r="P45" i="2" s="1"/>
  <c r="N46" i="2"/>
  <c r="T46" i="2" s="1"/>
  <c r="N63" i="2"/>
  <c r="O63" i="2" s="1"/>
  <c r="W63" i="2" s="1"/>
  <c r="Y63" i="2" s="1"/>
  <c r="N67" i="2"/>
  <c r="O67" i="2" s="1"/>
  <c r="W67" i="2" s="1"/>
  <c r="Y67" i="2" s="1"/>
  <c r="N76" i="2"/>
  <c r="N92" i="2"/>
  <c r="P92" i="2" s="1"/>
  <c r="N96" i="2"/>
  <c r="P96" i="2" s="1"/>
  <c r="N99" i="2"/>
  <c r="O99" i="2" s="1"/>
  <c r="N113" i="2"/>
  <c r="N126" i="2"/>
  <c r="N136" i="2"/>
  <c r="W136" i="2" s="1"/>
  <c r="N156" i="2"/>
  <c r="X156" i="2" s="1"/>
  <c r="N162" i="2"/>
  <c r="Y165" i="2"/>
  <c r="N21" i="2"/>
  <c r="O21" i="2" s="1"/>
  <c r="Y21" i="2" s="1"/>
  <c r="H14" i="5"/>
  <c r="O56" i="4"/>
  <c r="O48" i="4"/>
  <c r="H26" i="4"/>
  <c r="E26" i="4"/>
  <c r="E61" i="4" s="1"/>
  <c r="E63" i="4" s="1"/>
  <c r="M10" i="4"/>
  <c r="C26" i="4"/>
  <c r="M20" i="4"/>
  <c r="M17" i="4"/>
  <c r="M18" i="4"/>
  <c r="O18" i="2"/>
  <c r="S18" i="2" s="1"/>
  <c r="P51" i="2"/>
  <c r="O51" i="2"/>
  <c r="S51" i="2" s="1"/>
  <c r="T51" i="2"/>
  <c r="P40" i="2"/>
  <c r="O40" i="2"/>
  <c r="T40" i="2"/>
  <c r="O38" i="2"/>
  <c r="T38" i="2"/>
  <c r="S38" i="2"/>
  <c r="P38" i="2"/>
  <c r="P50" i="2"/>
  <c r="O50" i="2"/>
  <c r="S50" i="2" s="1"/>
  <c r="T50" i="2"/>
  <c r="P23" i="2"/>
  <c r="S23" i="2" s="1"/>
  <c r="P46" i="2"/>
  <c r="O46" i="2"/>
  <c r="S46" i="2" s="1"/>
  <c r="O14" i="2"/>
  <c r="S14" i="2" s="1"/>
  <c r="P31" i="2"/>
  <c r="O31" i="2"/>
  <c r="P77" i="2"/>
  <c r="O77" i="2"/>
  <c r="Y77" i="2" s="1"/>
  <c r="S77" i="2"/>
  <c r="P48" i="2"/>
  <c r="O48" i="2"/>
  <c r="S48" i="2" s="1"/>
  <c r="T48" i="2"/>
  <c r="P54" i="2"/>
  <c r="O54" i="2"/>
  <c r="P68" i="2"/>
  <c r="O68" i="2"/>
  <c r="Y68" i="2" s="1"/>
  <c r="P75" i="2"/>
  <c r="O75" i="2"/>
  <c r="S75" i="2" s="1"/>
  <c r="P58" i="2"/>
  <c r="O58" i="2"/>
  <c r="V58" i="2"/>
  <c r="P27" i="2"/>
  <c r="O27" i="2"/>
  <c r="Y27" i="2" s="1"/>
  <c r="T45" i="2"/>
  <c r="S19" i="2"/>
  <c r="S24" i="2"/>
  <c r="P34" i="2"/>
  <c r="S34" i="2" s="1"/>
  <c r="P35" i="2"/>
  <c r="S35" i="2" s="1"/>
  <c r="O36" i="2"/>
  <c r="Y36" i="2" s="1"/>
  <c r="P37" i="2"/>
  <c r="S37" i="2" s="1"/>
  <c r="P41" i="2"/>
  <c r="S41" i="2" s="1"/>
  <c r="S44" i="2"/>
  <c r="O47" i="2"/>
  <c r="O49" i="2"/>
  <c r="P52" i="2"/>
  <c r="S52" i="2" s="1"/>
  <c r="O53" i="2"/>
  <c r="O55" i="2"/>
  <c r="Y55" i="2" s="1"/>
  <c r="O56" i="2"/>
  <c r="P57" i="2"/>
  <c r="S57" i="2" s="1"/>
  <c r="O60" i="2"/>
  <c r="O61" i="2"/>
  <c r="S61" i="2" s="1"/>
  <c r="P62" i="2"/>
  <c r="S62" i="2" s="1"/>
  <c r="S64" i="2"/>
  <c r="Y64" i="2"/>
  <c r="P65" i="2"/>
  <c r="O80" i="2"/>
  <c r="S80" i="2"/>
  <c r="N88" i="2"/>
  <c r="O89" i="2"/>
  <c r="S89" i="2" s="1"/>
  <c r="Y90" i="2"/>
  <c r="O92" i="2"/>
  <c r="S92" i="2" s="1"/>
  <c r="Y93" i="2"/>
  <c r="P94" i="2"/>
  <c r="O94" i="2"/>
  <c r="S94" i="2" s="1"/>
  <c r="O104" i="2"/>
  <c r="S104" i="2" s="1"/>
  <c r="P104" i="2"/>
  <c r="P108" i="2"/>
  <c r="O108" i="2"/>
  <c r="O20" i="2"/>
  <c r="S20" i="2" s="1"/>
  <c r="M22" i="2"/>
  <c r="N22" i="2" s="1"/>
  <c r="P36" i="2"/>
  <c r="P47" i="2"/>
  <c r="P49" i="2"/>
  <c r="P53" i="2"/>
  <c r="S53" i="2" s="1"/>
  <c r="P55" i="2"/>
  <c r="P56" i="2"/>
  <c r="P60" i="2"/>
  <c r="O65" i="2"/>
  <c r="P67" i="2"/>
  <c r="N73" i="2"/>
  <c r="P79" i="2"/>
  <c r="P84" i="2"/>
  <c r="O84" i="2"/>
  <c r="O85" i="2"/>
  <c r="W85" i="2"/>
  <c r="O91" i="2"/>
  <c r="Y91" i="2" s="1"/>
  <c r="S91" i="2"/>
  <c r="P113" i="2"/>
  <c r="S113" i="2" s="1"/>
  <c r="O113" i="2"/>
  <c r="W113" i="2"/>
  <c r="U52" i="2"/>
  <c r="Y52" i="2" s="1"/>
  <c r="U57" i="2"/>
  <c r="Y57" i="2" s="1"/>
  <c r="P69" i="2"/>
  <c r="O69" i="2"/>
  <c r="N70" i="2"/>
  <c r="P74" i="2"/>
  <c r="O74" i="2"/>
  <c r="S79" i="2"/>
  <c r="N82" i="2"/>
  <c r="O83" i="2"/>
  <c r="S83" i="2"/>
  <c r="P99" i="2"/>
  <c r="O100" i="2"/>
  <c r="S100" i="2" s="1"/>
  <c r="P102" i="2"/>
  <c r="O102" i="2"/>
  <c r="W103" i="2"/>
  <c r="Y103" i="2" s="1"/>
  <c r="O105" i="2"/>
  <c r="P66" i="2"/>
  <c r="O66" i="2"/>
  <c r="P71" i="2"/>
  <c r="O71" i="2"/>
  <c r="Y71" i="2" s="1"/>
  <c r="P78" i="2"/>
  <c r="O78" i="2"/>
  <c r="W79" i="2"/>
  <c r="Y79" i="2" s="1"/>
  <c r="P81" i="2"/>
  <c r="O81" i="2"/>
  <c r="Y81" i="2" s="1"/>
  <c r="S86" i="2"/>
  <c r="P95" i="2"/>
  <c r="O95" i="2"/>
  <c r="S95" i="2" s="1"/>
  <c r="Y97" i="2"/>
  <c r="P98" i="2"/>
  <c r="O98" i="2"/>
  <c r="P111" i="2"/>
  <c r="O111" i="2"/>
  <c r="S111" i="2" s="1"/>
  <c r="S115" i="2"/>
  <c r="O115" i="2"/>
  <c r="O116" i="2"/>
  <c r="W117" i="2"/>
  <c r="O117" i="2"/>
  <c r="S117" i="2" s="1"/>
  <c r="O119" i="2"/>
  <c r="W119" i="2"/>
  <c r="S119" i="2"/>
  <c r="W122" i="2"/>
  <c r="O122" i="2"/>
  <c r="W127" i="2"/>
  <c r="O127" i="2"/>
  <c r="S127" i="2" s="1"/>
  <c r="O128" i="2"/>
  <c r="W128" i="2"/>
  <c r="W132" i="2"/>
  <c r="O132" i="2"/>
  <c r="Y132" i="2" s="1"/>
  <c r="W137" i="2"/>
  <c r="O137" i="2"/>
  <c r="Y137" i="2" s="1"/>
  <c r="O138" i="2"/>
  <c r="Y138" i="2" s="1"/>
  <c r="W138" i="2"/>
  <c r="W147" i="2"/>
  <c r="O147" i="2"/>
  <c r="S147" i="2" s="1"/>
  <c r="O148" i="2"/>
  <c r="S148" i="2" s="1"/>
  <c r="W148" i="2"/>
  <c r="O149" i="2"/>
  <c r="W149" i="2"/>
  <c r="O150" i="2"/>
  <c r="O151" i="2"/>
  <c r="W151" i="2"/>
  <c r="W152" i="2"/>
  <c r="O152" i="2"/>
  <c r="P86" i="2"/>
  <c r="P90" i="2"/>
  <c r="S90" i="2" s="1"/>
  <c r="P93" i="2"/>
  <c r="S93" i="2" s="1"/>
  <c r="P97" i="2"/>
  <c r="S97" i="2" s="1"/>
  <c r="P101" i="2"/>
  <c r="S101" i="2" s="1"/>
  <c r="P103" i="2"/>
  <c r="S103" i="2" s="1"/>
  <c r="O107" i="2"/>
  <c r="Y107" i="2" s="1"/>
  <c r="W112" i="2"/>
  <c r="O114" i="2"/>
  <c r="W116" i="2"/>
  <c r="S118" i="2"/>
  <c r="W118" i="2"/>
  <c r="Y118" i="2" s="1"/>
  <c r="O120" i="2"/>
  <c r="S120" i="2" s="1"/>
  <c r="W121" i="2"/>
  <c r="O121" i="2"/>
  <c r="S121" i="2" s="1"/>
  <c r="W126" i="2"/>
  <c r="O126" i="2"/>
  <c r="S126" i="2" s="1"/>
  <c r="W131" i="2"/>
  <c r="O131" i="2"/>
  <c r="Y131" i="2" s="1"/>
  <c r="W143" i="2"/>
  <c r="O143" i="2"/>
  <c r="Y143" i="2" s="1"/>
  <c r="O144" i="2"/>
  <c r="W144" i="2"/>
  <c r="W157" i="2"/>
  <c r="X157" i="2"/>
  <c r="O157" i="2"/>
  <c r="S157" i="2" s="1"/>
  <c r="F163" i="2"/>
  <c r="F3" i="2" s="1"/>
  <c r="P107" i="2"/>
  <c r="P110" i="2"/>
  <c r="W111" i="2"/>
  <c r="W115" i="2"/>
  <c r="W120" i="2"/>
  <c r="Y129" i="2"/>
  <c r="W142" i="2"/>
  <c r="O142" i="2"/>
  <c r="O162" i="2"/>
  <c r="S162" i="2" s="1"/>
  <c r="P109" i="2"/>
  <c r="Y110" i="2"/>
  <c r="W114" i="2"/>
  <c r="S114" i="2"/>
  <c r="W123" i="2"/>
  <c r="W124" i="2"/>
  <c r="W133" i="2"/>
  <c r="O133" i="2"/>
  <c r="Y133" i="2" s="1"/>
  <c r="O134" i="2"/>
  <c r="S134" i="2" s="1"/>
  <c r="W134" i="2"/>
  <c r="O139" i="2"/>
  <c r="W139" i="2"/>
  <c r="W153" i="2"/>
  <c r="S153" i="2"/>
  <c r="X153" i="2"/>
  <c r="W154" i="2"/>
  <c r="X158" i="2"/>
  <c r="O158" i="2"/>
  <c r="W158" i="2"/>
  <c r="O159" i="2"/>
  <c r="S159" i="2" s="1"/>
  <c r="S125" i="2"/>
  <c r="S129" i="2"/>
  <c r="S135" i="2"/>
  <c r="O141" i="2"/>
  <c r="Y141" i="2" s="1"/>
  <c r="S145" i="2"/>
  <c r="O146" i="2"/>
  <c r="Y146" i="2" s="1"/>
  <c r="W155" i="2"/>
  <c r="O164" i="2"/>
  <c r="Y164" i="2" s="1"/>
  <c r="W125" i="2"/>
  <c r="Y125" i="2" s="1"/>
  <c r="W129" i="2"/>
  <c r="W135" i="2"/>
  <c r="Y135" i="2" s="1"/>
  <c r="S146" i="2"/>
  <c r="W161" i="2"/>
  <c r="O161" i="2"/>
  <c r="O28" i="2" l="1"/>
  <c r="Y28" i="2" s="1"/>
  <c r="G63" i="4"/>
  <c r="H56" i="4" s="1"/>
  <c r="H59" i="4" s="1"/>
  <c r="O13" i="4"/>
  <c r="O14" i="4" s="1"/>
  <c r="O32" i="2"/>
  <c r="Y32" i="2" s="1"/>
  <c r="S110" i="2"/>
  <c r="W105" i="2"/>
  <c r="Y108" i="2"/>
  <c r="O87" i="2"/>
  <c r="S58" i="2"/>
  <c r="P59" i="2"/>
  <c r="O45" i="2"/>
  <c r="U45" i="2"/>
  <c r="Y45" i="2" s="1"/>
  <c r="S102" i="2"/>
  <c r="S108" i="2"/>
  <c r="W106" i="2"/>
  <c r="O106" i="2"/>
  <c r="P106" i="2"/>
  <c r="Y144" i="2"/>
  <c r="W150" i="2"/>
  <c r="Y116" i="2"/>
  <c r="S67" i="2"/>
  <c r="P63" i="2"/>
  <c r="S63" i="2" s="1"/>
  <c r="S65" i="2"/>
  <c r="S47" i="2"/>
  <c r="P72" i="2"/>
  <c r="S72" i="2" s="1"/>
  <c r="S59" i="2"/>
  <c r="S54" i="2"/>
  <c r="Y40" i="2"/>
  <c r="P112" i="2"/>
  <c r="O112" i="2"/>
  <c r="Y139" i="2"/>
  <c r="Y140" i="2"/>
  <c r="W156" i="2"/>
  <c r="S138" i="2"/>
  <c r="Y105" i="2"/>
  <c r="S87" i="2"/>
  <c r="O123" i="2"/>
  <c r="S123" i="2" s="1"/>
  <c r="O130" i="2"/>
  <c r="Y130" i="2" s="1"/>
  <c r="O109" i="2"/>
  <c r="Y109" i="2" s="1"/>
  <c r="O156" i="2"/>
  <c r="S156" i="2" s="1"/>
  <c r="O136" i="2"/>
  <c r="Y136" i="2" s="1"/>
  <c r="Y142" i="2"/>
  <c r="S107" i="2"/>
  <c r="S144" i="2"/>
  <c r="Y112" i="2"/>
  <c r="Y128" i="2"/>
  <c r="Y122" i="2"/>
  <c r="S98" i="2"/>
  <c r="O96" i="2"/>
  <c r="S96" i="2" s="1"/>
  <c r="S78" i="2"/>
  <c r="Y113" i="2"/>
  <c r="Y85" i="2"/>
  <c r="S68" i="2"/>
  <c r="O76" i="2"/>
  <c r="P76" i="2"/>
  <c r="S76" i="2" s="1"/>
  <c r="S32" i="2"/>
  <c r="S105" i="2"/>
  <c r="S31" i="2"/>
  <c r="S27" i="2"/>
  <c r="K11" i="3"/>
  <c r="F27" i="3"/>
  <c r="U161" i="2"/>
  <c r="Y161" i="2" s="1"/>
  <c r="U151" i="2"/>
  <c r="Y151" i="2" s="1"/>
  <c r="S154" i="2"/>
  <c r="S124" i="2"/>
  <c r="Y134" i="2"/>
  <c r="S142" i="2"/>
  <c r="S130" i="2"/>
  <c r="U157" i="2"/>
  <c r="Y157" i="2" s="1"/>
  <c r="S143" i="2"/>
  <c r="Y120" i="2"/>
  <c r="Y150" i="2"/>
  <c r="S137" i="2"/>
  <c r="Y127" i="2"/>
  <c r="S122" i="2"/>
  <c r="Y119" i="2"/>
  <c r="S116" i="2"/>
  <c r="W95" i="2"/>
  <c r="Y95" i="2" s="1"/>
  <c r="P82" i="2"/>
  <c r="O82" i="2"/>
  <c r="S82" i="2" s="1"/>
  <c r="O70" i="2"/>
  <c r="S70" i="2" s="1"/>
  <c r="P70" i="2"/>
  <c r="S85" i="2"/>
  <c r="W65" i="2"/>
  <c r="Y65" i="2" s="1"/>
  <c r="O22" i="2"/>
  <c r="Y22" i="2" s="1"/>
  <c r="W94" i="2"/>
  <c r="Y94" i="2" s="1"/>
  <c r="W89" i="2"/>
  <c r="Y89" i="2" s="1"/>
  <c r="U60" i="2"/>
  <c r="V60" i="2"/>
  <c r="U53" i="2"/>
  <c r="Y53" i="2" s="1"/>
  <c r="M2" i="2"/>
  <c r="Y58" i="2"/>
  <c r="Y72" i="2"/>
  <c r="W72" i="2"/>
  <c r="S36" i="2"/>
  <c r="S60" i="2"/>
  <c r="U46" i="2"/>
  <c r="Y46" i="2" s="1"/>
  <c r="S55" i="2"/>
  <c r="S40" i="2"/>
  <c r="S161" i="2"/>
  <c r="W98" i="2"/>
  <c r="Y98" i="2" s="1"/>
  <c r="U158" i="2"/>
  <c r="Y158" i="2" s="1"/>
  <c r="S141" i="2"/>
  <c r="S158" i="2"/>
  <c r="X2" i="2"/>
  <c r="U162" i="2"/>
  <c r="Y162" i="2" s="1"/>
  <c r="U156" i="2"/>
  <c r="Y126" i="2"/>
  <c r="Y121" i="2"/>
  <c r="Y114" i="2"/>
  <c r="S164" i="2"/>
  <c r="U149" i="2"/>
  <c r="Y149" i="2" s="1"/>
  <c r="Y147" i="2"/>
  <c r="Y117" i="2"/>
  <c r="U115" i="2"/>
  <c r="Y115" i="2" s="1"/>
  <c r="S109" i="2"/>
  <c r="W66" i="2"/>
  <c r="Y66" i="2" s="1"/>
  <c r="W102" i="2"/>
  <c r="Y102" i="2" s="1"/>
  <c r="W100" i="2"/>
  <c r="Y100" i="2" s="1"/>
  <c r="S69" i="2"/>
  <c r="W69" i="2"/>
  <c r="Y69" i="2" s="1"/>
  <c r="W87" i="2"/>
  <c r="Y87" i="2" s="1"/>
  <c r="W92" i="2"/>
  <c r="Y92" i="2" s="1"/>
  <c r="P88" i="2"/>
  <c r="O88" i="2"/>
  <c r="S45" i="2"/>
  <c r="W75" i="2"/>
  <c r="Y75" i="2" s="1"/>
  <c r="S66" i="2"/>
  <c r="Y54" i="2"/>
  <c r="U54" i="2"/>
  <c r="S81" i="2"/>
  <c r="U152" i="2"/>
  <c r="Y152" i="2"/>
  <c r="W99" i="2"/>
  <c r="Y99" i="2" s="1"/>
  <c r="S74" i="2"/>
  <c r="Y74" i="2"/>
  <c r="O73" i="2"/>
  <c r="S73" i="2" s="1"/>
  <c r="P73" i="2"/>
  <c r="Y20" i="2"/>
  <c r="W20" i="2"/>
  <c r="Y104" i="2"/>
  <c r="W104" i="2"/>
  <c r="U56" i="2"/>
  <c r="Y56" i="2" s="1"/>
  <c r="U49" i="2"/>
  <c r="Y49" i="2" s="1"/>
  <c r="U48" i="2"/>
  <c r="Y48" i="2" s="1"/>
  <c r="S133" i="2"/>
  <c r="S131" i="2"/>
  <c r="S152" i="2"/>
  <c r="S151" i="2"/>
  <c r="Y148" i="2"/>
  <c r="S132" i="2"/>
  <c r="S128" i="2"/>
  <c r="Y111" i="2"/>
  <c r="Y78" i="2"/>
  <c r="W78" i="2"/>
  <c r="Y83" i="2"/>
  <c r="W83" i="2"/>
  <c r="S49" i="2"/>
  <c r="Y84" i="2"/>
  <c r="S84" i="2"/>
  <c r="W80" i="2"/>
  <c r="Y80" i="2" s="1"/>
  <c r="U61" i="2"/>
  <c r="Y61" i="2" s="1"/>
  <c r="U47" i="2"/>
  <c r="Y47" i="2" s="1"/>
  <c r="S99" i="2"/>
  <c r="V59" i="2"/>
  <c r="U59" i="2"/>
  <c r="S71" i="2"/>
  <c r="S56" i="2"/>
  <c r="U50" i="2"/>
  <c r="Y51" i="2"/>
  <c r="G19" i="5" l="1"/>
  <c r="S28" i="2"/>
  <c r="D33" i="2"/>
  <c r="V2" i="2"/>
  <c r="Y60" i="2"/>
  <c r="Y59" i="2"/>
  <c r="W96" i="2"/>
  <c r="Y96" i="2" s="1"/>
  <c r="Y156" i="2"/>
  <c r="Y123" i="2"/>
  <c r="Y106" i="2"/>
  <c r="S106" i="2"/>
  <c r="U2" i="2"/>
  <c r="S136" i="2"/>
  <c r="Y76" i="2"/>
  <c r="W76" i="2"/>
  <c r="S112" i="2"/>
  <c r="H61" i="4"/>
  <c r="K27" i="3"/>
  <c r="Y50" i="2"/>
  <c r="W88" i="2"/>
  <c r="Y88" i="2" s="1"/>
  <c r="W70" i="2"/>
  <c r="W73" i="2"/>
  <c r="Y73" i="2" s="1"/>
  <c r="S88" i="2"/>
  <c r="S22" i="2"/>
  <c r="W82" i="2"/>
  <c r="Y82" i="2" s="1"/>
  <c r="H19" i="5" l="1"/>
  <c r="H20" i="5" s="1"/>
  <c r="H63" i="4"/>
  <c r="I67" i="4"/>
  <c r="D3" i="2"/>
  <c r="J33" i="2"/>
  <c r="Y70" i="2"/>
  <c r="N33" i="2" l="1"/>
  <c r="T33" i="2" s="1"/>
  <c r="J2" i="2"/>
  <c r="O33" i="2" l="1"/>
  <c r="O2" i="2" s="1"/>
  <c r="P33" i="2"/>
  <c r="P2" i="2" s="1"/>
  <c r="N2" i="2"/>
  <c r="S2" i="2" l="1"/>
  <c r="S33" i="2"/>
  <c r="Z2" i="2"/>
</calcChain>
</file>

<file path=xl/comments1.xml><?xml version="1.0" encoding="utf-8"?>
<comments xmlns="http://schemas.openxmlformats.org/spreadsheetml/2006/main">
  <authors>
    <author>tc={FC5D93AA-A3EE-4B4F-A8FB-1F7F36B3CE30}</author>
  </authors>
  <commentList>
    <comment ref="J19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=416347.99+25779.</t>
        </r>
      </text>
    </comment>
  </commentList>
</comments>
</file>

<file path=xl/sharedStrings.xml><?xml version="1.0" encoding="utf-8"?>
<sst xmlns="http://schemas.openxmlformats.org/spreadsheetml/2006/main" count="688" uniqueCount="402">
  <si>
    <t>(Valores en RD$)</t>
  </si>
  <si>
    <t>Mapeo</t>
  </si>
  <si>
    <t>0001</t>
  </si>
  <si>
    <t>0004</t>
  </si>
  <si>
    <t>0005</t>
  </si>
  <si>
    <t>0006</t>
  </si>
  <si>
    <t>0010</t>
  </si>
  <si>
    <t>0011</t>
  </si>
  <si>
    <t>0012</t>
  </si>
  <si>
    <t>0013</t>
  </si>
  <si>
    <t>0014</t>
  </si>
  <si>
    <t xml:space="preserve"> </t>
  </si>
  <si>
    <t>0015</t>
  </si>
  <si>
    <t>0016</t>
  </si>
  <si>
    <t>0017</t>
  </si>
  <si>
    <t>0018</t>
  </si>
  <si>
    <t>0019</t>
  </si>
  <si>
    <t>Retenciones y acumulaciones por pagar</t>
  </si>
  <si>
    <t>Capital</t>
  </si>
  <si>
    <t>0032</t>
  </si>
  <si>
    <t>Resultados positivos (ahorro) / negativo (desahorro)</t>
  </si>
  <si>
    <t>0033</t>
  </si>
  <si>
    <t>REYNALDO JAVIER</t>
  </si>
  <si>
    <t>Enc. De la División de Contabilidad de la Defensa Civil.</t>
  </si>
  <si>
    <t>Firma del Director Ejecutivo</t>
  </si>
  <si>
    <t>Diferencia para control debe ser cero</t>
  </si>
  <si>
    <t>Totales</t>
  </si>
  <si>
    <t>Defensa Civil</t>
  </si>
  <si>
    <t>Diferencia para control</t>
  </si>
  <si>
    <t>Balanza de comprobación</t>
  </si>
  <si>
    <t>Hoja de trabajo para el estado de flujo de efectivo</t>
  </si>
  <si>
    <t>Al 28 de febrero de 2022</t>
  </si>
  <si>
    <t>Al 31 de diciembre de 2020 y 2019</t>
  </si>
  <si>
    <t>Operación</t>
  </si>
  <si>
    <t xml:space="preserve">Balance al </t>
  </si>
  <si>
    <t xml:space="preserve"> |-----Eliminaciones-----|</t>
  </si>
  <si>
    <t>Variación</t>
  </si>
  <si>
    <t>Actividades</t>
  </si>
  <si>
    <t>Transfe-rencias</t>
  </si>
  <si>
    <t>Pagos a trabajadores</t>
  </si>
  <si>
    <t>Pagos por contribuciones</t>
  </si>
  <si>
    <t>Pagos a</t>
  </si>
  <si>
    <t xml:space="preserve">Otros </t>
  </si>
  <si>
    <t>Nombre de la cuenta</t>
  </si>
  <si>
    <t>Tipo de Actividad en el Flujo de Efectivo</t>
  </si>
  <si>
    <t>Descripción</t>
  </si>
  <si>
    <t>Dr</t>
  </si>
  <si>
    <t>Cr</t>
  </si>
  <si>
    <t>Dr  o  (Cr)</t>
  </si>
  <si>
    <t>Operacón</t>
  </si>
  <si>
    <t>Inversión</t>
  </si>
  <si>
    <t>Financia-miento</t>
  </si>
  <si>
    <t>Recibidas</t>
  </si>
  <si>
    <t>o beneficios a ellos</t>
  </si>
  <si>
    <t>a la seguridad social</t>
  </si>
  <si>
    <t>Proveedores</t>
  </si>
  <si>
    <t>Pagos</t>
  </si>
  <si>
    <t>**</t>
  </si>
  <si>
    <t>ACTIVOS</t>
  </si>
  <si>
    <t>A</t>
  </si>
  <si>
    <t>B</t>
  </si>
  <si>
    <t>C</t>
  </si>
  <si>
    <t>D</t>
  </si>
  <si>
    <t>(A+B-C-D)</t>
  </si>
  <si>
    <t>Caja chica</t>
  </si>
  <si>
    <t>Banco de Reservas (cuenta No. 010-500042-6)</t>
  </si>
  <si>
    <t>Efectivo y equivalente de efectivo</t>
  </si>
  <si>
    <t>Cuenta Disponibilidad institucional(No.0100102000)</t>
  </si>
  <si>
    <t>CI 7297 Prevencion para Des. Temp. Ciclonica</t>
  </si>
  <si>
    <t>Material gastable</t>
  </si>
  <si>
    <t>AOP</t>
  </si>
  <si>
    <t>Pagos anticipados</t>
  </si>
  <si>
    <t>Mobiliarios y equipos de oficina</t>
  </si>
  <si>
    <t>AINV</t>
  </si>
  <si>
    <t>Depreciación acumulada</t>
  </si>
  <si>
    <t>Intangibles</t>
  </si>
  <si>
    <t>Amortización</t>
  </si>
  <si>
    <t>PASIVOS</t>
  </si>
  <si>
    <t>Cuentas por pagar</t>
  </si>
  <si>
    <t>ACTIVOS NETO/PATRIMONIO</t>
  </si>
  <si>
    <t>Resultado acumulado</t>
  </si>
  <si>
    <t>Resultado del período</t>
  </si>
  <si>
    <t>Ajustes</t>
  </si>
  <si>
    <t>INGRESOS</t>
  </si>
  <si>
    <t>0036</t>
  </si>
  <si>
    <t>Ingresos por transacciones con contraprestación</t>
  </si>
  <si>
    <t>0037</t>
  </si>
  <si>
    <t>Transferencias</t>
  </si>
  <si>
    <t>0038</t>
  </si>
  <si>
    <t>Recargos, multas y otros ingresos</t>
  </si>
  <si>
    <t>GASTOS</t>
  </si>
  <si>
    <t>SERVICIOS PERSONALES</t>
  </si>
  <si>
    <t>REMUNERACIONES</t>
  </si>
  <si>
    <t>0039</t>
  </si>
  <si>
    <t>Sueldos fijos</t>
  </si>
  <si>
    <t>Sueldos al personal contratado y/o igualado</t>
  </si>
  <si>
    <t>Sueldo al personal nominal en periodo probatorio</t>
  </si>
  <si>
    <t>Sueldo anual no. 13</t>
  </si>
  <si>
    <t>2.1.1.5.01</t>
  </si>
  <si>
    <t>Prestaciones económicas</t>
  </si>
  <si>
    <t>Proporción de vacaciones no disfrutadas</t>
  </si>
  <si>
    <t>SOBRESUELDOS</t>
  </si>
  <si>
    <t>Compensación por horas extraordinarias</t>
  </si>
  <si>
    <t>Compensación por servicio de seguridad</t>
  </si>
  <si>
    <t>Bono por desempeño</t>
  </si>
  <si>
    <t>GRATIFICACIONES Y BONIFICACIONES</t>
  </si>
  <si>
    <t>Gratificaciones por aniversario de institución</t>
  </si>
  <si>
    <t>CONTRIBUCIONES A LA SEGURIDAD SOCIAL Y RIESGO LABORAL</t>
  </si>
  <si>
    <t>Contribuciones al seguro de salud</t>
  </si>
  <si>
    <t xml:space="preserve">Contribuciones al seguro de pensiones </t>
  </si>
  <si>
    <t>Contribuciones al seguro de riesgo laboral</t>
  </si>
  <si>
    <t>SERVICIOS NO PERSONALES</t>
  </si>
  <si>
    <t>SERVICIOS BÁSICOS</t>
  </si>
  <si>
    <t>0044</t>
  </si>
  <si>
    <t>Servicios telefónico de larga distancia</t>
  </si>
  <si>
    <t>Teléfono local</t>
  </si>
  <si>
    <t>Telefax y correo</t>
  </si>
  <si>
    <t>Servicio de internet y televisión por cable</t>
  </si>
  <si>
    <t>Energía eléctrica</t>
  </si>
  <si>
    <t>PUBLICIDAD, IMPRESIÓN Y ENCUADERNACIÓN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</si>
  <si>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</si>
  <si>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</si>
  <si>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</si>
  <si>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</si>
  <si>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</si>
  <si>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ALMACENAJES</t>
  </si>
  <si>
    <t>Pasajes</t>
  </si>
  <si>
    <t>Peajes</t>
  </si>
  <si>
    <t>ALQUILERES Y RENTA</t>
  </si>
  <si>
    <t>Edificios y locales</t>
  </si>
  <si>
    <t>2.2.5.4.01</t>
  </si>
  <si>
    <t>Alquiler de vehículo</t>
  </si>
  <si>
    <t>Otros alquileres</t>
  </si>
  <si>
    <t>SEGUROS</t>
  </si>
  <si>
    <t>Seguro de bienes muebles</t>
  </si>
  <si>
    <t>2.2.6.3.01</t>
  </si>
  <si>
    <t>Seguro de personas</t>
  </si>
  <si>
    <t>CONSERV., REPS. MENORES E INSTALACIONES TEMP.</t>
  </si>
  <si>
    <t>Servicios especiales de mantenimiento y reparación</t>
  </si>
  <si>
    <t>2.2.7.1.07</t>
  </si>
  <si>
    <t>Servicios de pintura y derivados con fin de higiene y embellecimiento</t>
  </si>
  <si>
    <t>Reparaciones de obras menores</t>
  </si>
  <si>
    <t>Mant. y rep. De equipo de oficina y muebles</t>
  </si>
  <si>
    <t>2.2.7.2.05</t>
  </si>
  <si>
    <t>Mant. y rep. De equipo de comunicación</t>
  </si>
  <si>
    <t>Mant. y rep. De equipo de transporte, tracción y elevación</t>
  </si>
  <si>
    <t xml:space="preserve">OTROS SERVICIOS NO PERSONALES </t>
  </si>
  <si>
    <t>Comisiones y gastos bancarios</t>
  </si>
  <si>
    <t>2.2.8.3.01</t>
  </si>
  <si>
    <t xml:space="preserve">Servicios sanitarios médicos y veterinarios </t>
  </si>
  <si>
    <t>Fumigación</t>
  </si>
  <si>
    <t>Activos prepagados</t>
  </si>
  <si>
    <t>Lavandería</t>
  </si>
  <si>
    <t>Limpieza e higiene</t>
  </si>
  <si>
    <t>Eventos generales</t>
  </si>
  <si>
    <t>Festividades</t>
  </si>
  <si>
    <t>Servicios jurídicos</t>
  </si>
  <si>
    <t>2.2.8.7.04</t>
  </si>
  <si>
    <t>Servicios de capacitación</t>
  </si>
  <si>
    <t>Otros servicios técnicos profesionales</t>
  </si>
  <si>
    <r>
      <t>Impuestos</t>
    </r>
    <r>
      <rPr>
        <sz val="8"/>
        <color theme="1"/>
        <rFont val="Calibri"/>
        <family val="2"/>
        <scheme val="minor"/>
      </rPr>
      <t> </t>
    </r>
  </si>
  <si>
    <t>MATERIALES Y SUMINISTROS</t>
  </si>
  <si>
    <t>ALIMENTOS Y PRODUCTOS AGROFORESTALES</t>
  </si>
  <si>
    <t>2.3.1.1.01</t>
  </si>
  <si>
    <t>Alimentos y bebidas para personas</t>
  </si>
  <si>
    <t>0041</t>
  </si>
  <si>
    <t>2.3.1.3.03</t>
  </si>
  <si>
    <t>Productos forestales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</si>
  <si>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</si>
  <si>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</si>
  <si>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</si>
  <si>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</si>
  <si>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</si>
  <si>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</si>
  <si>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</si>
  <si>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PRODUCTOS DE PAPEL, CARTÓN E IMPRESO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</si>
  <si>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</si>
  <si>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</si>
  <si>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</si>
  <si>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</si>
  <si>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</si>
  <si>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</si>
  <si>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2.3.4.1.01</t>
  </si>
  <si>
    <t>Productos medicinales para uso humano</t>
  </si>
  <si>
    <t>PRODUCTOS DE CUERO, CAUCHO Y PLÁSTICOS</t>
  </si>
  <si>
    <t>2.3.5.2.01</t>
  </si>
  <si>
    <t>Artículos de cuero</t>
  </si>
  <si>
    <t>Libros, revistas y periódicos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</si>
  <si>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</si>
  <si>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</si>
  <si>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</si>
  <si>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</si>
  <si>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</si>
  <si>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</si>
  <si>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PRODUCTOS DE MINERALES, METÁLICOS Y NO METÁLICOS</t>
  </si>
  <si>
    <t>2.3.6.1.01</t>
  </si>
  <si>
    <t>Productos de cemento</t>
  </si>
  <si>
    <t>2.3.6.1.04</t>
  </si>
  <si>
    <t>Productos de yeso</t>
  </si>
  <si>
    <t>2.3.6.2.01</t>
  </si>
  <si>
    <t>Productos de vidrio</t>
  </si>
  <si>
    <t>2.3.6.3.01</t>
  </si>
  <si>
    <t>Productos ferrosos</t>
  </si>
  <si>
    <t>2.3.6.3.02</t>
  </si>
  <si>
    <t>Productos no ferrosos</t>
  </si>
  <si>
    <t>Herramientas menores</t>
  </si>
  <si>
    <t>Productos de hojalata</t>
  </si>
  <si>
    <t>2.3.6.3.06</t>
  </si>
  <si>
    <t>Accesorios de metal</t>
  </si>
  <si>
    <t>Piedra, arcilla y arena</t>
  </si>
  <si>
    <t>COMBUSTIBLES, LUBRICANTES, PRODUCTOS QUÍMICOS Y CONEXOS</t>
  </si>
  <si>
    <t>2.3.7.1.01</t>
  </si>
  <si>
    <t>Gasolina</t>
  </si>
  <si>
    <t>2.3.7.1.02</t>
  </si>
  <si>
    <t>Gasoil</t>
  </si>
  <si>
    <t>Aceites y grasas</t>
  </si>
  <si>
    <t>2.3.7.2.03</t>
  </si>
  <si>
    <t>Productos químicos de laboratorio y de uso personal</t>
  </si>
  <si>
    <t>2.3.7.2.05</t>
  </si>
  <si>
    <t>Insecticidas, fumigantes y otros</t>
  </si>
  <si>
    <t>2.3.7.2.06</t>
  </si>
  <si>
    <t>Pinturas, lacas, barnices, diluyentes y absorbentes para pinturas</t>
  </si>
  <si>
    <t>PRODUCTOS Y ÚTILES VARIOS</t>
  </si>
  <si>
    <t>2.3.9.1.01</t>
  </si>
  <si>
    <t>Material para limpieza</t>
  </si>
  <si>
    <t>2.3.9.2.01</t>
  </si>
  <si>
    <t>Útiles de escritorio, oficina e informática </t>
  </si>
  <si>
    <t>2.3.9.3.01</t>
  </si>
  <si>
    <t>Útiles menores médico quirurgicos</t>
  </si>
  <si>
    <t>Útiles destinados a actividades deportivas y recreativas</t>
  </si>
  <si>
    <t xml:space="preserve">2.3.9.4.01 </t>
  </si>
  <si>
    <t>2.3.9.6.01</t>
  </si>
  <si>
    <t>Productos eléctricos y afines</t>
  </si>
  <si>
    <t>2.3.9.7.01</t>
  </si>
  <si>
    <t xml:space="preserve">Productos y utiles veterinarios </t>
  </si>
  <si>
    <t>2.3.9.8.01</t>
  </si>
  <si>
    <t>Otros repuestos y accesorios menores</t>
  </si>
  <si>
    <t>2.3.9.9.01</t>
  </si>
  <si>
    <t>Productos y útiles varios</t>
  </si>
  <si>
    <t>Productos y Utiles Varios  n.i.p</t>
  </si>
  <si>
    <t>2.3.9.9.02</t>
  </si>
  <si>
    <t>Bonos para útiles diversos</t>
  </si>
  <si>
    <t>ajustes</t>
  </si>
  <si>
    <t>2.3.6.4.07</t>
  </si>
  <si>
    <t>Minerales</t>
  </si>
  <si>
    <t xml:space="preserve">2.3.9.5.01 </t>
  </si>
  <si>
    <t>Útiles de cocina y comedor</t>
  </si>
  <si>
    <t>Otros</t>
  </si>
  <si>
    <t>TRANSFERENCIAS CORRIENTES</t>
  </si>
  <si>
    <t>0040</t>
  </si>
  <si>
    <t>2.4.1.2.02</t>
  </si>
  <si>
    <t>Ayudas y donaciones ocacionales a hogares y personas</t>
  </si>
  <si>
    <t>2.4.1.4.01</t>
  </si>
  <si>
    <t>Becas nacionales</t>
  </si>
  <si>
    <t>2.4.1.4.02</t>
  </si>
  <si>
    <t>Becas extranjeras</t>
  </si>
  <si>
    <t>2.4.1.6.01</t>
  </si>
  <si>
    <t>Transferencias corrientes a asociaciones sin fines de lucro</t>
  </si>
  <si>
    <t>0042</t>
  </si>
  <si>
    <t>Gasto de depreciación</t>
  </si>
  <si>
    <t>Gasto de amortización</t>
  </si>
  <si>
    <t>Pérdida por retiro</t>
  </si>
  <si>
    <t>(Ganancia) pérdida</t>
  </si>
  <si>
    <t>Beneficio (Pérdida) del periodo</t>
  </si>
  <si>
    <t>Las notas en las páginas 7 a 14 son parte integral de estos Estados Financieros.</t>
  </si>
  <si>
    <t xml:space="preserve">Intereses minoritarios </t>
  </si>
  <si>
    <t>0049</t>
  </si>
  <si>
    <t>Propietarios de la entidad controladora</t>
  </si>
  <si>
    <t>0048</t>
  </si>
  <si>
    <t xml:space="preserve">Participación en resultado de asociadas </t>
  </si>
  <si>
    <t>0047</t>
  </si>
  <si>
    <t>Ganancia (pérdida) por diferencia cambiaria</t>
  </si>
  <si>
    <t>0046</t>
  </si>
  <si>
    <t>Total gastos</t>
  </si>
  <si>
    <t>Gastos financieros</t>
  </si>
  <si>
    <t>0045</t>
  </si>
  <si>
    <t>Otros gastos</t>
  </si>
  <si>
    <t>Deterioro del valor de propiedad, planta y equipo</t>
  </si>
  <si>
    <t>0043</t>
  </si>
  <si>
    <t>Gasto de depreciación y amortización</t>
  </si>
  <si>
    <t>Suministros y materiales para consumo</t>
  </si>
  <si>
    <t>Subvenciones y otros pagos por transferencias</t>
  </si>
  <si>
    <t>Sueldos, salarios y beneficios a empleados</t>
  </si>
  <si>
    <t xml:space="preserve">Gastos </t>
  </si>
  <si>
    <t>Total ingresos</t>
  </si>
  <si>
    <t xml:space="preserve">Ingresos por transacciones con contraprestación </t>
  </si>
  <si>
    <t xml:space="preserve">Impuestos </t>
  </si>
  <si>
    <t>0035</t>
  </si>
  <si>
    <t>Ingresos</t>
  </si>
  <si>
    <t>Firma del Director Ejecutivo.</t>
  </si>
  <si>
    <t>13299182.04.</t>
  </si>
  <si>
    <t>*</t>
  </si>
  <si>
    <t xml:space="preserve">Efectivo y equivalentes al efectivo al final del período </t>
  </si>
  <si>
    <t xml:space="preserve">Efectivo y equivalentes al efectivo al principio del período </t>
  </si>
  <si>
    <t>Incremento/(Disminución) neta en efectivo y equivalentes al efectivo</t>
  </si>
  <si>
    <t>Flujos de efectivo netos por las actividades de financiación</t>
  </si>
  <si>
    <t xml:space="preserve">Otros pagos </t>
  </si>
  <si>
    <t>Pago de los arrendatarios por contratos de arrendamientos financieros</t>
  </si>
  <si>
    <t xml:space="preserve">Pago por distribución/dividendos al gobierno </t>
  </si>
  <si>
    <t>Pago reembolso de efectivo recibió por aporte de accionista</t>
  </si>
  <si>
    <t>Pago reembolso en efectivo de los montos recibidos en préstamos, pagarés, hipotecas</t>
  </si>
  <si>
    <t>Disminución de Cuentas por pagar</t>
  </si>
  <si>
    <t>Otros cobros</t>
  </si>
  <si>
    <t>Cobro de los arrendatarios por contratos de arrendamientos financieros</t>
  </si>
  <si>
    <t>Incremento en cuentas pro Pagar Proveedores a Corto Plazo</t>
  </si>
  <si>
    <t>Cobro por préstamos, pagarés, hipotecas</t>
  </si>
  <si>
    <t>Flujos de efectivo de las actividades de financiación</t>
  </si>
  <si>
    <t xml:space="preserve">Flujos de efectivo netos por las actividades de inversión </t>
  </si>
  <si>
    <t>Pagos por costos de construcciones y desarrollos en proceso</t>
  </si>
  <si>
    <t>Pagos por conceptos de contratos a futuro, a plazo, opciones o permuta</t>
  </si>
  <si>
    <t>Pagos por otorgamiento de préstamos o anticipos hechos a terceros</t>
  </si>
  <si>
    <t>Pagos por adquisición de títulos patrimoniales o de deuda y participación en asociaciones</t>
  </si>
  <si>
    <t>Pagos por adquisición de intangibles y otros activos de largo plazo</t>
  </si>
  <si>
    <t xml:space="preserve">Pagos por adquisición de propiedad, planta y equipo </t>
  </si>
  <si>
    <t>Cobros por conceptos de contratos a futuro, a plazo, opciones o permuta</t>
  </si>
  <si>
    <t>Cobros por reembolsos de préstamos o anticipos hechos a terceros</t>
  </si>
  <si>
    <t>Cobros por títulos patrimoniales o de deuda y participación en asociaciones</t>
  </si>
  <si>
    <t>Cobros por venta de intangibles y otros activos de largo plazo</t>
  </si>
  <si>
    <t xml:space="preserve">Cobros por venta de propiedad, planta y equipo </t>
  </si>
  <si>
    <t>Flujos de efectivo de las actividades de inversión (AINV)</t>
  </si>
  <si>
    <t>Flujos de efectivo netos de las actividades de operación</t>
  </si>
  <si>
    <t>Ajustes al flujo neto de efectivo de las actividades de operación</t>
  </si>
  <si>
    <t>Depreciaciones</t>
  </si>
  <si>
    <t xml:space="preserve">Pagos de intereses </t>
  </si>
  <si>
    <t>Pagos por contratos mantenidos para negocios o intercambio</t>
  </si>
  <si>
    <t xml:space="preserve">Pagos a proveedores </t>
  </si>
  <si>
    <t>Pagos de pensiones y jubilaciones</t>
  </si>
  <si>
    <t>Pagos por contribuciones a la seguridad social</t>
  </si>
  <si>
    <t>Pagos a los trabajadores o en beneficio de ellos</t>
  </si>
  <si>
    <t>Pagos a otras entidades para financiar sus operaciones (Transferencias)</t>
  </si>
  <si>
    <t>Cobros de intereses financieros</t>
  </si>
  <si>
    <t>Cobros por contratos mantenidos para negocios o intercambio</t>
  </si>
  <si>
    <t>Cobros de seguros por primas, reclamos y otros</t>
  </si>
  <si>
    <t>Cobros de subvenciones, transferencias, y otras asignaciones</t>
  </si>
  <si>
    <t>Cobros por venta de bienes y servicios y arrendamientos</t>
  </si>
  <si>
    <t>Contribuciones de la seguridad social</t>
  </si>
  <si>
    <t>Cobros impuestos</t>
  </si>
  <si>
    <t>Flujos de efectivo procedentes de actividades de operación (AOP)</t>
  </si>
  <si>
    <t>Estado de Cambio de Activo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</si>
  <si>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</si>
  <si>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</si>
  <si>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</si>
  <si>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</si>
  <si>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</si>
  <si>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Cambio en políticas contables</t>
  </si>
  <si>
    <t>Revaluación de Propiedad, planta y equipo</t>
  </si>
  <si>
    <t xml:space="preserve">Ajuste al patrimonio </t>
  </si>
  <si>
    <t>Efecto del gasto de depreciación de los activos revaluados</t>
  </si>
  <si>
    <t>Las notas en las páginas 7 a la 14 son  parte integral de estos Estados Financieros.</t>
  </si>
  <si>
    <t>Firma del Financiero.</t>
  </si>
  <si>
    <t>Firma del Contador.</t>
  </si>
  <si>
    <t>Codigo</t>
  </si>
  <si>
    <t>Operativa</t>
  </si>
  <si>
    <t>SIGEF</t>
  </si>
  <si>
    <t>Monto</t>
  </si>
  <si>
    <t>Total</t>
  </si>
  <si>
    <t>2.1.1.1.01</t>
  </si>
  <si>
    <t>2.1.1.2.08</t>
  </si>
  <si>
    <t>2.1.1.2.11</t>
  </si>
  <si>
    <t>2.1.2.2.04</t>
  </si>
  <si>
    <t>2.1.2.2.05</t>
  </si>
  <si>
    <t>2.1.2.2.10</t>
  </si>
  <si>
    <t>2.1.4.2.04</t>
  </si>
  <si>
    <t>2.1.5.1.01</t>
  </si>
  <si>
    <t>2.1.5.2.01</t>
  </si>
  <si>
    <t>2.1.5.3.01</t>
  </si>
  <si>
    <t>2.2.1.3.01</t>
  </si>
  <si>
    <t>2.2.1.5.01</t>
  </si>
  <si>
    <t>2.2.1.6.01</t>
  </si>
  <si>
    <t>2.2.1.7.01</t>
  </si>
  <si>
    <t>2.2.1.8.01</t>
  </si>
  <si>
    <t>2.2.2.1.01</t>
  </si>
  <si>
    <t>2.2.3.1.01</t>
  </si>
  <si>
    <t>2.2.4.2.01</t>
  </si>
  <si>
    <t>2.2.5.8.01</t>
  </si>
  <si>
    <t>2.2.7.2.06</t>
  </si>
  <si>
    <t>2.2.8.2.01</t>
  </si>
  <si>
    <t>2.2.8.5.01</t>
  </si>
  <si>
    <t>2.2.8.7.06</t>
  </si>
  <si>
    <t>2.2.8.8.01</t>
  </si>
  <si>
    <t>2.3.7.1.04</t>
  </si>
  <si>
    <t>2.4.2.2.02</t>
  </si>
  <si>
    <t>2.6.1.9.01</t>
  </si>
  <si>
    <t>2.6.4.1.01</t>
  </si>
  <si>
    <t>Total RD$</t>
  </si>
  <si>
    <t>SIGEG</t>
  </si>
  <si>
    <t>Cuenta cuota Institucional(No.0100102001)</t>
  </si>
  <si>
    <t>Colectora Captación Directa(No.999027000)</t>
  </si>
  <si>
    <t>Ingresos extraspresupuestarios</t>
  </si>
  <si>
    <t>Saldo al 31 de marzo del 2022</t>
  </si>
  <si>
    <t>Incremento cuentas por pagar</t>
  </si>
  <si>
    <t xml:space="preserve">ajuste </t>
  </si>
  <si>
    <t>cuentas porr pagar</t>
  </si>
  <si>
    <t>retenciones por pagar</t>
  </si>
  <si>
    <t>fbrero</t>
  </si>
  <si>
    <t xml:space="preserve">pagada febrero </t>
  </si>
  <si>
    <t>por pagar corresp. amarzo</t>
  </si>
  <si>
    <t xml:space="preserve">por  pagar febrero </t>
  </si>
  <si>
    <t>Correspondiente al 31 del mes de marzo del año 2022</t>
  </si>
  <si>
    <t>Correspondiente al 31 marzo del 2022</t>
  </si>
  <si>
    <t>Saldo al 01 de enero de 2021</t>
  </si>
  <si>
    <t>Saldo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</si>
</sst>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5" formatCode="_(* #,##0_);_(* \(#,##0\);_(* &quot;-&quot;??_);_(@_)"/>
    <numFmt numFmtId="166" formatCode="[$-409]dd\-mmm\-yy;@"/>
    <numFmt numFmtId="167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0"/>
      <name val="Times New Roman"/>
      <family val="1"/>
    </font>
    <font>
      <sz val="10"/>
      <name val="Arial"/>
      <family val="2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1"/>
      <color theme="4" tint="-0.249977111117893"/>
      <name val="Times New Roman"/>
      <family val="1"/>
    </font>
    <font>
      <b/>
      <u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sz val="14"/>
      <color theme="1"/>
      <name val="Calibri"/>
      <family val="2"/>
      <scheme val="minor"/>
    </font>
    <font>
      <u val="singleAccounting"/>
      <sz val="14"/>
      <color theme="1"/>
      <name val="Times New Roman"/>
      <family val="1"/>
    </font>
    <font>
      <b/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4"/>
      <color theme="1"/>
      <name val="Times New Roman"/>
      <family val="1"/>
    </font>
    <font>
      <sz val="12"/>
      <color rgb="FF000000"/>
      <name val="Arial"/>
      <family val="2"/>
    </font>
    <font>
      <b/>
      <u/>
      <sz val="14"/>
      <color theme="1"/>
      <name val="Times New Roman"/>
      <family val="1"/>
    </font>
    <font>
      <sz val="16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39" fontId="5" fillId="0" borderId="0" xfId="0" applyNumberFormat="1" applyFont="1" applyAlignment="1">
      <alignment vertical="center"/>
    </xf>
    <xf numFmtId="39" fontId="6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left" vertical="center"/>
    </xf>
    <xf numFmtId="41" fontId="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41" fontId="3" fillId="0" borderId="0" xfId="0" applyNumberFormat="1" applyFont="1"/>
    <xf numFmtId="0" fontId="3" fillId="0" borderId="0" xfId="0" applyFont="1"/>
    <xf numFmtId="41" fontId="6" fillId="0" borderId="1" xfId="0" applyNumberFormat="1" applyFont="1" applyBorder="1" applyAlignment="1">
      <alignment vertical="center"/>
    </xf>
    <xf numFmtId="43" fontId="3" fillId="0" borderId="0" xfId="1" applyFont="1" applyAlignment="1">
      <alignment vertical="center"/>
    </xf>
    <xf numFmtId="41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1" fontId="5" fillId="0" borderId="1" xfId="0" applyNumberFormat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 indent="5"/>
    </xf>
    <xf numFmtId="43" fontId="6" fillId="0" borderId="0" xfId="0" applyNumberFormat="1" applyFont="1"/>
    <xf numFmtId="43" fontId="3" fillId="0" borderId="0" xfId="0" applyNumberFormat="1" applyFont="1"/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43" fontId="0" fillId="0" borderId="0" xfId="1" applyFont="1"/>
    <xf numFmtId="43" fontId="6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" fontId="0" fillId="0" borderId="0" xfId="0" applyNumberFormat="1"/>
    <xf numFmtId="41" fontId="0" fillId="0" borderId="0" xfId="0" applyNumberFormat="1"/>
    <xf numFmtId="43" fontId="0" fillId="0" borderId="0" xfId="0" applyNumberFormat="1"/>
    <xf numFmtId="41" fontId="0" fillId="0" borderId="0" xfId="0" applyNumberFormat="1" applyAlignment="1">
      <alignment vertical="center"/>
    </xf>
    <xf numFmtId="0" fontId="30" fillId="0" borderId="0" xfId="0" applyFont="1" applyAlignment="1">
      <alignment wrapText="1"/>
    </xf>
    <xf numFmtId="41" fontId="9" fillId="0" borderId="2" xfId="0" applyNumberFormat="1" applyFont="1" applyBorder="1" applyAlignment="1">
      <alignment vertical="center"/>
    </xf>
    <xf numFmtId="41" fontId="9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7" fillId="0" borderId="0" xfId="0" applyFont="1" applyAlignment="1">
      <alignment horizontal="center" vertical="center"/>
    </xf>
    <xf numFmtId="43" fontId="3" fillId="0" borderId="0" xfId="1" applyFont="1" applyBorder="1" applyAlignment="1">
      <alignment vertical="center"/>
    </xf>
    <xf numFmtId="0" fontId="11" fillId="0" borderId="0" xfId="0" applyFont="1" applyAlignment="1">
      <alignment vertical="center" wrapText="1"/>
    </xf>
    <xf numFmtId="3" fontId="11" fillId="0" borderId="0" xfId="0" applyNumberFormat="1" applyFont="1" applyAlignment="1">
      <alignment vertical="center"/>
    </xf>
    <xf numFmtId="41" fontId="31" fillId="0" borderId="0" xfId="0" applyNumberFormat="1" applyFont="1" applyAlignment="1">
      <alignment vertical="center"/>
    </xf>
    <xf numFmtId="41" fontId="11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39" fontId="11" fillId="0" borderId="0" xfId="0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41" fontId="4" fillId="0" borderId="2" xfId="0" applyNumberFormat="1" applyFont="1" applyBorder="1" applyAlignment="1">
      <alignment vertical="center"/>
    </xf>
    <xf numFmtId="41" fontId="32" fillId="0" borderId="0" xfId="0" applyNumberFormat="1" applyFont="1" applyAlignment="1">
      <alignment vertical="center"/>
    </xf>
    <xf numFmtId="0" fontId="11" fillId="0" borderId="0" xfId="0" applyFont="1"/>
    <xf numFmtId="41" fontId="11" fillId="0" borderId="0" xfId="0" applyNumberFormat="1" applyFont="1"/>
    <xf numFmtId="41" fontId="4" fillId="0" borderId="0" xfId="0" applyNumberFormat="1" applyFont="1"/>
    <xf numFmtId="0" fontId="3" fillId="0" borderId="0" xfId="0" applyFont="1" applyAlignment="1">
      <alignment vertical="center" wrapText="1"/>
    </xf>
    <xf numFmtId="4" fontId="33" fillId="0" borderId="0" xfId="0" applyNumberFormat="1" applyFont="1"/>
    <xf numFmtId="43" fontId="11" fillId="0" borderId="0" xfId="0" applyNumberFormat="1" applyFont="1" applyAlignment="1">
      <alignment vertical="center"/>
    </xf>
    <xf numFmtId="0" fontId="1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4" fillId="0" borderId="0" xfId="0" applyFont="1" applyAlignment="1">
      <alignment horizontal="left" vertical="center" indent="5"/>
    </xf>
    <xf numFmtId="43" fontId="35" fillId="0" borderId="0" xfId="4" applyFont="1" applyFill="1" applyBorder="1" applyAlignment="1">
      <alignment horizontal="left" vertical="center"/>
    </xf>
    <xf numFmtId="41" fontId="4" fillId="3" borderId="0" xfId="0" applyNumberFormat="1" applyFont="1" applyFill="1"/>
    <xf numFmtId="41" fontId="11" fillId="3" borderId="0" xfId="0" applyNumberFormat="1" applyFont="1" applyFill="1"/>
    <xf numFmtId="43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167" fontId="3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37" fontId="0" fillId="0" borderId="0" xfId="0" applyNumberFormat="1"/>
    <xf numFmtId="3" fontId="4" fillId="0" borderId="0" xfId="0" applyNumberFormat="1" applyFont="1"/>
    <xf numFmtId="3" fontId="11" fillId="0" borderId="0" xfId="0" applyNumberFormat="1" applyFont="1"/>
    <xf numFmtId="3" fontId="3" fillId="0" borderId="0" xfId="0" applyNumberFormat="1" applyFont="1"/>
    <xf numFmtId="3" fontId="4" fillId="0" borderId="0" xfId="0" applyNumberFormat="1" applyFont="1" applyAlignment="1">
      <alignment vertical="center"/>
    </xf>
    <xf numFmtId="17" fontId="3" fillId="0" borderId="0" xfId="0" applyNumberFormat="1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0" fontId="4" fillId="0" borderId="0" xfId="0" applyFont="1" applyAlignment="1">
      <alignment horizontal="justify" vertical="center"/>
    </xf>
    <xf numFmtId="17" fontId="3" fillId="0" borderId="5" xfId="0" applyNumberFormat="1" applyFont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1" fillId="0" borderId="8" xfId="0" applyFont="1" applyBorder="1" applyAlignment="1">
      <alignment vertical="center"/>
    </xf>
    <xf numFmtId="41" fontId="11" fillId="0" borderId="9" xfId="0" applyNumberFormat="1" applyFont="1" applyBorder="1"/>
    <xf numFmtId="41" fontId="4" fillId="0" borderId="9" xfId="0" applyNumberFormat="1" applyFont="1" applyBorder="1"/>
    <xf numFmtId="41" fontId="4" fillId="0" borderId="9" xfId="0" applyNumberFormat="1" applyFont="1" applyBorder="1" applyAlignment="1">
      <alignment vertical="center"/>
    </xf>
    <xf numFmtId="167" fontId="0" fillId="0" borderId="0" xfId="0" applyNumberFormat="1" applyAlignment="1">
      <alignment vertical="center"/>
    </xf>
    <xf numFmtId="43" fontId="11" fillId="0" borderId="0" xfId="1" applyFont="1" applyAlignment="1">
      <alignment vertical="center"/>
    </xf>
    <xf numFmtId="0" fontId="2" fillId="0" borderId="10" xfId="0" applyFont="1" applyBorder="1" applyAlignment="1">
      <alignment horizontal="center"/>
    </xf>
    <xf numFmtId="43" fontId="2" fillId="0" borderId="10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3" fontId="0" fillId="0" borderId="10" xfId="1" applyFont="1" applyFill="1" applyBorder="1"/>
    <xf numFmtId="43" fontId="0" fillId="0" borderId="10" xfId="0" applyNumberFormat="1" applyBorder="1"/>
    <xf numFmtId="0" fontId="0" fillId="0" borderId="10" xfId="0" applyBorder="1"/>
    <xf numFmtId="0" fontId="2" fillId="0" borderId="10" xfId="0" applyFont="1" applyBorder="1"/>
    <xf numFmtId="43" fontId="2" fillId="0" borderId="10" xfId="0" applyNumberFormat="1" applyFont="1" applyBorder="1"/>
    <xf numFmtId="43" fontId="2" fillId="0" borderId="10" xfId="1" applyFont="1" applyFill="1" applyBorder="1"/>
    <xf numFmtId="0" fontId="2" fillId="0" borderId="0" xfId="0" applyFont="1"/>
    <xf numFmtId="49" fontId="3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41" fontId="3" fillId="0" borderId="0" xfId="0" applyNumberFormat="1" applyFont="1" applyFill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3" borderId="0" xfId="0" applyNumberFormat="1" applyFont="1" applyFill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1" fontId="8" fillId="0" borderId="0" xfId="0" applyNumberFormat="1" applyFont="1" applyAlignment="1" applyProtection="1">
      <alignment vertical="center"/>
      <protection locked="0"/>
    </xf>
    <xf numFmtId="41" fontId="12" fillId="0" borderId="0" xfId="0" applyNumberFormat="1" applyFont="1" applyFill="1" applyAlignment="1" applyProtection="1">
      <alignment vertical="center"/>
      <protection locked="0"/>
    </xf>
    <xf numFmtId="41" fontId="12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4" fontId="0" fillId="0" borderId="0" xfId="0" applyNumberFormat="1" applyProtection="1">
      <protection locked="0"/>
    </xf>
    <xf numFmtId="41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1" fontId="0" fillId="0" borderId="0" xfId="0" applyNumberFormat="1" applyFill="1" applyAlignment="1" applyProtection="1">
      <alignment vertical="center"/>
      <protection locked="0"/>
    </xf>
    <xf numFmtId="41" fontId="0" fillId="0" borderId="0" xfId="0" applyNumberFormat="1" applyAlignment="1" applyProtection="1">
      <alignment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37" fontId="15" fillId="0" borderId="0" xfId="2" applyNumberFormat="1" applyFont="1" applyFill="1" applyAlignment="1" applyProtection="1">
      <alignment horizontal="center" vertical="center"/>
      <protection locked="0"/>
    </xf>
    <xf numFmtId="37" fontId="15" fillId="0" borderId="0" xfId="2" applyNumberFormat="1" applyFont="1" applyFill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1" fontId="17" fillId="0" borderId="0" xfId="0" applyNumberFormat="1" applyFont="1" applyFill="1" applyAlignment="1" applyProtection="1">
      <alignment horizontal="center" vertical="center"/>
      <protection locked="0"/>
    </xf>
    <xf numFmtId="1" fontId="17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166" fontId="9" fillId="0" borderId="0" xfId="0" applyNumberFormat="1" applyFont="1" applyAlignment="1" applyProtection="1">
      <alignment horizontal="center" vertical="center"/>
      <protection locked="0"/>
    </xf>
    <xf numFmtId="165" fontId="15" fillId="0" borderId="0" xfId="2" applyNumberFormat="1" applyFont="1" applyFill="1" applyAlignment="1" applyProtection="1">
      <alignment horizontal="center" vertical="center"/>
      <protection locked="0"/>
    </xf>
    <xf numFmtId="0" fontId="14" fillId="4" borderId="0" xfId="0" applyFont="1" applyFill="1" applyAlignment="1" applyProtection="1">
      <alignment vertical="center"/>
      <protection locked="0"/>
    </xf>
    <xf numFmtId="0" fontId="16" fillId="5" borderId="0" xfId="0" applyFont="1" applyFill="1" applyAlignment="1" applyProtection="1">
      <alignment horizontal="center" vertical="center"/>
      <protection locked="0"/>
    </xf>
    <xf numFmtId="0" fontId="16" fillId="5" borderId="0" xfId="0" applyFont="1" applyFill="1" applyAlignment="1" applyProtection="1">
      <alignment vertical="center"/>
      <protection locked="0"/>
    </xf>
    <xf numFmtId="0" fontId="3" fillId="6" borderId="0" xfId="0" applyFont="1" applyFill="1" applyAlignment="1" applyProtection="1">
      <alignment vertical="center"/>
      <protection locked="0"/>
    </xf>
    <xf numFmtId="4" fontId="3" fillId="0" borderId="0" xfId="0" applyNumberFormat="1" applyFont="1" applyFill="1" applyAlignment="1" applyProtection="1">
      <alignment vertical="center"/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41" fontId="6" fillId="0" borderId="0" xfId="0" applyNumberFormat="1" applyFont="1" applyAlignment="1" applyProtection="1">
      <alignment vertical="center"/>
      <protection locked="0"/>
    </xf>
    <xf numFmtId="4" fontId="18" fillId="0" borderId="0" xfId="0" applyNumberFormat="1" applyFont="1" applyFill="1" applyAlignment="1" applyProtection="1">
      <alignment vertical="center"/>
      <protection locked="0"/>
    </xf>
    <xf numFmtId="4" fontId="8" fillId="0" borderId="0" xfId="0" applyNumberFormat="1" applyFont="1" applyFill="1" applyAlignment="1" applyProtection="1">
      <alignment vertical="center"/>
      <protection locked="0"/>
    </xf>
    <xf numFmtId="41" fontId="3" fillId="2" borderId="0" xfId="0" applyNumberFormat="1" applyFont="1" applyFill="1" applyAlignment="1" applyProtection="1">
      <alignment vertical="center"/>
      <protection locked="0"/>
    </xf>
    <xf numFmtId="43" fontId="3" fillId="0" borderId="0" xfId="0" applyNumberFormat="1" applyFont="1" applyFill="1" applyAlignment="1" applyProtection="1">
      <alignment vertical="center"/>
      <protection locked="0"/>
    </xf>
    <xf numFmtId="43" fontId="13" fillId="0" borderId="0" xfId="1" applyFont="1" applyFill="1" applyProtection="1">
      <protection locked="0"/>
    </xf>
    <xf numFmtId="0" fontId="3" fillId="3" borderId="0" xfId="0" applyFont="1" applyFill="1" applyAlignment="1" applyProtection="1">
      <alignment vertical="center"/>
      <protection locked="0"/>
    </xf>
    <xf numFmtId="41" fontId="0" fillId="3" borderId="0" xfId="0" applyNumberFormat="1" applyFill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" fontId="19" fillId="0" borderId="0" xfId="0" applyNumberFormat="1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9" fontId="0" fillId="3" borderId="0" xfId="0" applyNumberFormat="1" applyFill="1" applyAlignment="1" applyProtection="1">
      <alignment horizontal="center" vertical="center"/>
      <protection locked="0"/>
    </xf>
    <xf numFmtId="49" fontId="0" fillId="3" borderId="0" xfId="0" applyNumberFormat="1" applyFill="1" applyAlignment="1" applyProtection="1">
      <alignment vertical="center"/>
      <protection locked="0"/>
    </xf>
    <xf numFmtId="49" fontId="3" fillId="3" borderId="0" xfId="0" applyNumberFormat="1" applyFont="1" applyFill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20" fillId="0" borderId="0" xfId="0" applyFont="1" applyAlignment="1" applyProtection="1">
      <alignment vertical="center"/>
      <protection locked="0"/>
    </xf>
    <xf numFmtId="4" fontId="0" fillId="0" borderId="0" xfId="0" applyNumberFormat="1" applyFill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3" xfId="0" applyFont="1" applyBorder="1" applyAlignment="1" applyProtection="1">
      <alignment horizontal="right" vertical="center"/>
      <protection locked="0"/>
    </xf>
    <xf numFmtId="4" fontId="24" fillId="0" borderId="0" xfId="1" applyNumberFormat="1" applyFont="1" applyFill="1" applyBorder="1" applyProtection="1">
      <protection locked="0"/>
    </xf>
    <xf numFmtId="0" fontId="23" fillId="0" borderId="3" xfId="0" applyFont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7" fillId="0" borderId="0" xfId="3" applyFont="1" applyAlignment="1" applyProtection="1">
      <alignment vertical="center"/>
      <protection locked="0"/>
    </xf>
    <xf numFmtId="4" fontId="13" fillId="0" borderId="0" xfId="4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3" applyAlignment="1" applyProtection="1">
      <alignment vertical="center"/>
      <protection locked="0"/>
    </xf>
    <xf numFmtId="0" fontId="28" fillId="0" borderId="0" xfId="3" applyFont="1" applyAlignment="1" applyProtection="1">
      <alignment vertical="center"/>
      <protection locked="0"/>
    </xf>
    <xf numFmtId="1" fontId="29" fillId="0" borderId="4" xfId="0" applyNumberFormat="1" applyFont="1" applyBorder="1" applyAlignment="1" applyProtection="1">
      <alignment vertical="center"/>
      <protection locked="0"/>
    </xf>
    <xf numFmtId="1" fontId="29" fillId="0" borderId="0" xfId="0" applyNumberFormat="1" applyFont="1" applyAlignment="1" applyProtection="1">
      <alignment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vertical="center"/>
      <protection locked="0"/>
    </xf>
    <xf numFmtId="37" fontId="3" fillId="0" borderId="0" xfId="0" applyNumberFormat="1" applyFont="1" applyFill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" fontId="3" fillId="7" borderId="0" xfId="0" applyNumberFormat="1" applyFont="1" applyFill="1" applyAlignment="1" applyProtection="1">
      <alignment vertical="center"/>
      <protection locked="0"/>
    </xf>
    <xf numFmtId="43" fontId="2" fillId="0" borderId="0" xfId="1" applyFont="1" applyAlignment="1">
      <alignment horizontal="center"/>
    </xf>
    <xf numFmtId="43" fontId="2" fillId="0" borderId="0" xfId="1" applyFont="1"/>
    <xf numFmtId="0" fontId="11" fillId="0" borderId="10" xfId="0" applyFont="1" applyBorder="1" applyAlignment="1">
      <alignment vertical="center"/>
    </xf>
    <xf numFmtId="41" fontId="11" fillId="3" borderId="10" xfId="0" applyNumberFormat="1" applyFont="1" applyFill="1" applyBorder="1"/>
    <xf numFmtId="41" fontId="11" fillId="0" borderId="10" xfId="0" applyNumberFormat="1" applyFont="1" applyBorder="1"/>
    <xf numFmtId="41" fontId="11" fillId="0" borderId="10" xfId="0" applyNumberFormat="1" applyFont="1" applyBorder="1" applyAlignment="1">
      <alignment vertical="center"/>
    </xf>
    <xf numFmtId="41" fontId="4" fillId="0" borderId="10" xfId="0" applyNumberFormat="1" applyFont="1" applyBorder="1"/>
    <xf numFmtId="41" fontId="4" fillId="0" borderId="1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wrapText="1"/>
    </xf>
    <xf numFmtId="4" fontId="33" fillId="0" borderId="10" xfId="0" applyNumberFormat="1" applyFont="1" applyBorder="1"/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41" fontId="37" fillId="0" borderId="0" xfId="0" applyNumberFormat="1" applyFont="1" applyAlignment="1">
      <alignment vertical="center"/>
    </xf>
    <xf numFmtId="0" fontId="37" fillId="0" borderId="0" xfId="0" applyFont="1" applyAlignment="1">
      <alignment vertical="center" wrapText="1"/>
    </xf>
    <xf numFmtId="41" fontId="37" fillId="0" borderId="0" xfId="0" applyNumberFormat="1" applyFont="1"/>
    <xf numFmtId="3" fontId="0" fillId="0" borderId="0" xfId="0" applyNumberFormat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top"/>
    </xf>
    <xf numFmtId="43" fontId="11" fillId="0" borderId="0" xfId="0" applyNumberFormat="1" applyFont="1"/>
    <xf numFmtId="0" fontId="4" fillId="0" borderId="0" xfId="0" applyFont="1"/>
    <xf numFmtId="43" fontId="0" fillId="0" borderId="10" xfId="0" applyNumberFormat="1" applyBorder="1" applyAlignment="1">
      <alignment horizontal="center"/>
    </xf>
    <xf numFmtId="37" fontId="15" fillId="0" borderId="1" xfId="2" applyNumberFormat="1" applyFont="1" applyFill="1" applyBorder="1" applyAlignment="1" applyProtection="1">
      <alignment horizontal="center" vertical="center"/>
      <protection locked="0"/>
    </xf>
    <xf numFmtId="37" fontId="1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37" fontId="14" fillId="4" borderId="0" xfId="2" applyNumberFormat="1" applyFont="1" applyFill="1" applyAlignment="1" applyProtection="1">
      <alignment horizontal="center" vertical="center" textRotation="90" wrapText="1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5">
    <cellStyle name="Comma_Hoja de trabajo flujo 2007" xfId="2"/>
    <cellStyle name="Millares" xfId="1" builtinId="3"/>
    <cellStyle name="Millares 2" xfId="4"/>
    <cellStyle name="Normal" xfId="0" builtinId="0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esktop/LIBRE%20ACCESO/LIBRE%20ACCES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</sheetNames>
    <sheetDataSet>
      <sheetData sheetId="0">
        <row r="43">
          <cell r="B43">
            <v>1046327.71</v>
          </cell>
          <cell r="C43">
            <v>12204759.27</v>
          </cell>
        </row>
      </sheetData>
      <sheetData sheetId="1">
        <row r="49">
          <cell r="B49">
            <v>1475065.17</v>
          </cell>
          <cell r="C49">
            <v>11692464.710000001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 refreshError="1"/>
      <sheetData sheetId="1" refreshError="1"/>
      <sheetData sheetId="2" refreshError="1">
        <row r="19">
          <cell r="H19">
            <v>2021</v>
          </cell>
        </row>
      </sheetData>
      <sheetData sheetId="3" refreshError="1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9"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</row>
        <row r="13">
          <cell r="A13" t="str">
            <v>0001</v>
          </cell>
        </row>
        <row r="14">
          <cell r="A14" t="str">
            <v>0001</v>
          </cell>
          <cell r="D14">
            <v>6509040.5499999998</v>
          </cell>
        </row>
        <row r="15">
          <cell r="D15">
            <v>-416700.07</v>
          </cell>
        </row>
        <row r="16">
          <cell r="A16" t="str">
            <v>0001</v>
          </cell>
          <cell r="D16">
            <v>10296496.189999999</v>
          </cell>
        </row>
        <row r="17">
          <cell r="A17" t="str">
            <v>0001</v>
          </cell>
          <cell r="D17">
            <v>1275461.1100000001</v>
          </cell>
        </row>
        <row r="18">
          <cell r="A18" t="str">
            <v>0004</v>
          </cell>
          <cell r="D18">
            <v>0</v>
          </cell>
        </row>
        <row r="19">
          <cell r="A19" t="str">
            <v>0005</v>
          </cell>
          <cell r="D19">
            <v>1032932.73</v>
          </cell>
        </row>
        <row r="20">
          <cell r="A20" t="str">
            <v>0006</v>
          </cell>
        </row>
        <row r="21">
          <cell r="A21" t="str">
            <v>0012</v>
          </cell>
          <cell r="D21">
            <v>177720623.99000001</v>
          </cell>
        </row>
        <row r="22">
          <cell r="A22" t="str">
            <v>0012</v>
          </cell>
          <cell r="D22">
            <v>-115744682.3</v>
          </cell>
          <cell r="F22">
            <v>-6323255.1400000006</v>
          </cell>
        </row>
        <row r="23">
          <cell r="A23" t="str">
            <v>0013</v>
          </cell>
        </row>
        <row r="24">
          <cell r="A24" t="str">
            <v>0013</v>
          </cell>
        </row>
        <row r="26">
          <cell r="A26" t="str">
            <v>**</v>
          </cell>
        </row>
        <row r="27">
          <cell r="A27" t="str">
            <v>0016</v>
          </cell>
          <cell r="D27">
            <v>-11393772.779999999</v>
          </cell>
        </row>
        <row r="28">
          <cell r="A28" t="str">
            <v>0019</v>
          </cell>
          <cell r="D28">
            <v>-474803.48</v>
          </cell>
        </row>
        <row r="30">
          <cell r="A30" t="str">
            <v>**</v>
          </cell>
        </row>
        <row r="31">
          <cell r="D31">
            <v>51695326</v>
          </cell>
        </row>
        <row r="32">
          <cell r="A32" t="str">
            <v>0033</v>
          </cell>
          <cell r="D32">
            <v>18555016.600000001</v>
          </cell>
        </row>
        <row r="33">
          <cell r="A33" t="str">
            <v>0032</v>
          </cell>
          <cell r="D33">
            <v>1752022.320000004</v>
          </cell>
        </row>
        <row r="36">
          <cell r="A36" t="str">
            <v>**</v>
          </cell>
        </row>
        <row r="37">
          <cell r="A37" t="str">
            <v>0036</v>
          </cell>
          <cell r="D37">
            <v>-1075000</v>
          </cell>
          <cell r="M37">
            <v>0</v>
          </cell>
        </row>
        <row r="38">
          <cell r="A38" t="str">
            <v>0037</v>
          </cell>
          <cell r="D38">
            <v>-15210014.550000001</v>
          </cell>
          <cell r="M38">
            <v>0</v>
          </cell>
        </row>
        <row r="39">
          <cell r="A39" t="str">
            <v>0038</v>
          </cell>
          <cell r="D39">
            <v>-135000</v>
          </cell>
        </row>
        <row r="41">
          <cell r="A41" t="str">
            <v>**</v>
          </cell>
        </row>
        <row r="44">
          <cell r="A44" t="str">
            <v>0039</v>
          </cell>
          <cell r="D44">
            <v>9200834.129999999</v>
          </cell>
        </row>
        <row r="45">
          <cell r="A45" t="str">
            <v>0039</v>
          </cell>
        </row>
        <row r="46">
          <cell r="A46" t="str">
            <v>0039</v>
          </cell>
        </row>
        <row r="47">
          <cell r="A47" t="str">
            <v>0039</v>
          </cell>
        </row>
        <row r="48">
          <cell r="A48" t="str">
            <v>0039</v>
          </cell>
        </row>
        <row r="49">
          <cell r="A49" t="str">
            <v>0039</v>
          </cell>
        </row>
        <row r="51">
          <cell r="A51" t="str">
            <v>0039</v>
          </cell>
        </row>
        <row r="52">
          <cell r="A52" t="str">
            <v>0039</v>
          </cell>
        </row>
        <row r="53">
          <cell r="A53" t="str">
            <v>0039</v>
          </cell>
        </row>
        <row r="55">
          <cell r="A55" t="str">
            <v>0039</v>
          </cell>
        </row>
        <row r="57">
          <cell r="A57" t="str">
            <v>0039</v>
          </cell>
          <cell r="D57">
            <v>1262480.7</v>
          </cell>
        </row>
        <row r="58">
          <cell r="A58" t="str">
            <v>0039</v>
          </cell>
        </row>
        <row r="59">
          <cell r="A59" t="str">
            <v>0039</v>
          </cell>
        </row>
        <row r="62">
          <cell r="A62" t="str">
            <v>0044</v>
          </cell>
        </row>
        <row r="63">
          <cell r="A63" t="str">
            <v>0044</v>
          </cell>
        </row>
        <row r="64">
          <cell r="A64" t="str">
            <v>0044</v>
          </cell>
        </row>
        <row r="65">
          <cell r="A65" t="str">
            <v>0044</v>
          </cell>
        </row>
        <row r="66">
          <cell r="A66" t="str">
            <v>0044</v>
          </cell>
        </row>
        <row r="68">
          <cell r="A68" t="str">
            <v>0044</v>
          </cell>
        </row>
        <row r="69">
          <cell r="A69" t="str">
            <v>0044</v>
          </cell>
        </row>
        <row r="71">
          <cell r="A71" t="str">
            <v>0044</v>
          </cell>
        </row>
        <row r="72">
          <cell r="A72" t="str">
            <v>0044</v>
          </cell>
        </row>
        <row r="74">
          <cell r="A74" t="str">
            <v>0044</v>
          </cell>
        </row>
        <row r="75">
          <cell r="A75" t="str">
            <v>0044</v>
          </cell>
        </row>
        <row r="77">
          <cell r="A77" t="str">
            <v>0044</v>
          </cell>
        </row>
        <row r="78">
          <cell r="A78" t="str">
            <v>0044</v>
          </cell>
        </row>
        <row r="79">
          <cell r="A79" t="str">
            <v>0044</v>
          </cell>
        </row>
        <row r="81">
          <cell r="A81" t="str">
            <v>0044</v>
          </cell>
        </row>
        <row r="82">
          <cell r="A82" t="str">
            <v>0044</v>
          </cell>
        </row>
        <row r="84">
          <cell r="A84" t="str">
            <v>0044</v>
          </cell>
          <cell r="D84">
            <v>792019.94</v>
          </cell>
        </row>
        <row r="85">
          <cell r="A85" t="str">
            <v>0044</v>
          </cell>
        </row>
        <row r="86">
          <cell r="A86" t="str">
            <v>0044</v>
          </cell>
        </row>
        <row r="87">
          <cell r="A87" t="str">
            <v>0044</v>
          </cell>
        </row>
        <row r="88">
          <cell r="A88" t="str">
            <v>0044</v>
          </cell>
        </row>
        <row r="89">
          <cell r="A89" t="str">
            <v>0044</v>
          </cell>
        </row>
        <row r="91">
          <cell r="A91" t="str">
            <v>0044</v>
          </cell>
        </row>
        <row r="92">
          <cell r="A92" t="str">
            <v>0044</v>
          </cell>
        </row>
        <row r="93">
          <cell r="A93" t="str">
            <v>0044</v>
          </cell>
        </row>
        <row r="94">
          <cell r="A94" t="str">
            <v>0044</v>
          </cell>
        </row>
        <row r="95">
          <cell r="A95" t="str">
            <v>0044</v>
          </cell>
        </row>
        <row r="96">
          <cell r="A96" t="str">
            <v>0044</v>
          </cell>
        </row>
        <row r="97">
          <cell r="A97" t="str">
            <v>0044</v>
          </cell>
        </row>
        <row r="98">
          <cell r="A98" t="str">
            <v>0044</v>
          </cell>
        </row>
        <row r="99">
          <cell r="A99" t="str">
            <v>0044</v>
          </cell>
        </row>
        <row r="100">
          <cell r="A100" t="str">
            <v>0044</v>
          </cell>
        </row>
        <row r="101">
          <cell r="A101" t="str">
            <v>0044</v>
          </cell>
        </row>
        <row r="104">
          <cell r="A104" t="str">
            <v>0039</v>
          </cell>
          <cell r="D104">
            <v>1229067</v>
          </cell>
        </row>
        <row r="105">
          <cell r="A105" t="str">
            <v>0041</v>
          </cell>
        </row>
        <row r="107">
          <cell r="A107" t="str">
            <v>0041</v>
          </cell>
        </row>
        <row r="108">
          <cell r="A108" t="str">
            <v>0041</v>
          </cell>
        </row>
        <row r="109">
          <cell r="A109" t="str">
            <v>0039</v>
          </cell>
        </row>
        <row r="111">
          <cell r="A111" t="str">
            <v>0041</v>
          </cell>
        </row>
        <row r="112">
          <cell r="A112" t="str">
            <v>0041</v>
          </cell>
        </row>
        <row r="113">
          <cell r="A113" t="str">
            <v>0041</v>
          </cell>
        </row>
        <row r="114">
          <cell r="A114" t="str">
            <v>0039</v>
          </cell>
        </row>
        <row r="116">
          <cell r="A116" t="str">
            <v>0041</v>
          </cell>
        </row>
        <row r="117">
          <cell r="A117" t="str">
            <v>0041</v>
          </cell>
        </row>
        <row r="118">
          <cell r="A118" t="str">
            <v>0041</v>
          </cell>
        </row>
        <row r="119">
          <cell r="A119" t="str">
            <v>0041</v>
          </cell>
        </row>
        <row r="120">
          <cell r="A120" t="str">
            <v>0041</v>
          </cell>
        </row>
        <row r="122">
          <cell r="A122" t="str">
            <v>0041</v>
          </cell>
        </row>
        <row r="123">
          <cell r="A123" t="str">
            <v>0041</v>
          </cell>
        </row>
        <row r="124">
          <cell r="A124" t="str">
            <v>0041</v>
          </cell>
        </row>
        <row r="125">
          <cell r="A125" t="str">
            <v>0041</v>
          </cell>
        </row>
        <row r="126">
          <cell r="A126" t="str">
            <v>0041</v>
          </cell>
        </row>
        <row r="127">
          <cell r="A127" t="str">
            <v>0041</v>
          </cell>
        </row>
        <row r="128">
          <cell r="A128" t="str">
            <v>0041</v>
          </cell>
        </row>
        <row r="129">
          <cell r="A129" t="str">
            <v>0041</v>
          </cell>
        </row>
        <row r="130">
          <cell r="A130" t="str">
            <v>0041</v>
          </cell>
        </row>
        <row r="132">
          <cell r="A132" t="str">
            <v>0041</v>
          </cell>
        </row>
        <row r="133">
          <cell r="A133" t="str">
            <v>0041</v>
          </cell>
        </row>
        <row r="134">
          <cell r="A134" t="str">
            <v>0041</v>
          </cell>
        </row>
        <row r="135">
          <cell r="A135" t="str">
            <v>0041</v>
          </cell>
        </row>
        <row r="136">
          <cell r="A136" t="str">
            <v>0041</v>
          </cell>
        </row>
        <row r="137">
          <cell r="A137" t="str">
            <v>0041</v>
          </cell>
        </row>
        <row r="139">
          <cell r="A139" t="str">
            <v>0041</v>
          </cell>
        </row>
        <row r="140">
          <cell r="A140" t="str">
            <v>0041</v>
          </cell>
        </row>
        <row r="141">
          <cell r="A141" t="str">
            <v>0041</v>
          </cell>
        </row>
        <row r="142">
          <cell r="A142" t="str">
            <v>0041</v>
          </cell>
        </row>
        <row r="143">
          <cell r="A143" t="str">
            <v>0041</v>
          </cell>
        </row>
        <row r="144">
          <cell r="A144" t="str">
            <v>0041</v>
          </cell>
        </row>
        <row r="145">
          <cell r="A145" t="str">
            <v>0041</v>
          </cell>
        </row>
        <row r="146">
          <cell r="A146" t="str">
            <v>0041</v>
          </cell>
        </row>
        <row r="147">
          <cell r="A147" t="str">
            <v>0041</v>
          </cell>
        </row>
        <row r="148">
          <cell r="A148" t="str">
            <v>0039</v>
          </cell>
        </row>
        <row r="150">
          <cell r="A150" t="str">
            <v>0041</v>
          </cell>
        </row>
        <row r="151">
          <cell r="A151" t="str">
            <v>0041</v>
          </cell>
        </row>
        <row r="153">
          <cell r="A153" t="str">
            <v>0044</v>
          </cell>
        </row>
        <row r="155">
          <cell r="A155" t="str">
            <v>0040</v>
          </cell>
        </row>
        <row r="156">
          <cell r="A156" t="str">
            <v>0039</v>
          </cell>
        </row>
        <row r="157">
          <cell r="A157" t="str">
            <v>0039</v>
          </cell>
        </row>
        <row r="158">
          <cell r="A158" t="str">
            <v>0040</v>
          </cell>
          <cell r="D158">
            <v>42776</v>
          </cell>
        </row>
        <row r="159">
          <cell r="A159" t="str">
            <v>0042</v>
          </cell>
          <cell r="D159">
            <v>2098038.46</v>
          </cell>
        </row>
        <row r="160">
          <cell r="A160" t="str">
            <v>0042</v>
          </cell>
        </row>
        <row r="161">
          <cell r="A161" t="str">
            <v>0044</v>
          </cell>
        </row>
        <row r="162">
          <cell r="F162">
            <v>12527177.77</v>
          </cell>
        </row>
        <row r="167">
          <cell r="F167">
            <v>-6323255.1400000006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EYNALDO  JAVIER" id="{CF8966C7-DA86-4881-B665-B9EADCC9ACF5}" userId="REYNALDO  JAVIER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9" dT="2021-12-10T19:14:03.29" personId="{CF8966C7-DA86-4881-B665-B9EADCC9ACF5}" id="{FC5D93AA-A3EE-4B4F-A8FB-1F7F36B3CE30}">
    <text>=416347.99+25779.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topLeftCell="A22" workbookViewId="0">
      <selection activeCell="E37" sqref="E37"/>
    </sheetView>
  </sheetViews>
  <sheetFormatPr baseColWidth="10" defaultRowHeight="15" x14ac:dyDescent="0.25"/>
  <cols>
    <col min="2" max="2" width="14.140625" customWidth="1"/>
    <col min="3" max="3" width="14.140625" style="28" bestFit="1" customWidth="1"/>
    <col min="4" max="5" width="14.140625" bestFit="1" customWidth="1"/>
    <col min="6" max="6" width="14.140625" style="28" bestFit="1" customWidth="1"/>
  </cols>
  <sheetData>
    <row r="2" spans="1:6" s="89" customFormat="1" x14ac:dyDescent="0.25">
      <c r="A2" s="87" t="s">
        <v>351</v>
      </c>
      <c r="B2" s="87" t="s">
        <v>352</v>
      </c>
      <c r="C2" s="88" t="s">
        <v>353</v>
      </c>
      <c r="D2" s="87" t="s">
        <v>354</v>
      </c>
      <c r="E2" s="87" t="s">
        <v>355</v>
      </c>
      <c r="F2" s="172"/>
    </row>
    <row r="3" spans="1:6" x14ac:dyDescent="0.25">
      <c r="A3" s="90" t="s">
        <v>356</v>
      </c>
      <c r="B3" s="90"/>
      <c r="C3" s="90">
        <v>7168166.6300000008</v>
      </c>
      <c r="D3" s="91">
        <f>B3+C3</f>
        <v>7168166.6300000008</v>
      </c>
      <c r="E3" s="195">
        <f>D3+D4+D5</f>
        <v>8251416.6300000008</v>
      </c>
    </row>
    <row r="4" spans="1:6" x14ac:dyDescent="0.25">
      <c r="A4" s="90" t="s">
        <v>357</v>
      </c>
      <c r="B4" s="90"/>
      <c r="C4" s="90">
        <v>999750</v>
      </c>
      <c r="D4" s="91">
        <f t="shared" ref="D4:D37" si="0">B4+C4</f>
        <v>999750</v>
      </c>
      <c r="E4" s="195"/>
    </row>
    <row r="5" spans="1:6" x14ac:dyDescent="0.25">
      <c r="A5" s="90" t="s">
        <v>358</v>
      </c>
      <c r="B5" s="90"/>
      <c r="C5" s="90">
        <v>83500</v>
      </c>
      <c r="D5" s="91">
        <f t="shared" si="0"/>
        <v>83500</v>
      </c>
      <c r="E5" s="195"/>
      <c r="F5" s="28">
        <f>E3+E6+E9+E10</f>
        <v>19494673.43</v>
      </c>
    </row>
    <row r="6" spans="1:6" x14ac:dyDescent="0.25">
      <c r="A6" s="90" t="s">
        <v>359</v>
      </c>
      <c r="B6" s="90"/>
      <c r="C6" s="90">
        <v>256000</v>
      </c>
      <c r="D6" s="91">
        <f t="shared" si="0"/>
        <v>256000</v>
      </c>
      <c r="E6" s="195">
        <f>D6+D7+D8</f>
        <v>9886151.6300000008</v>
      </c>
    </row>
    <row r="7" spans="1:6" x14ac:dyDescent="0.25">
      <c r="A7" s="90" t="s">
        <v>360</v>
      </c>
      <c r="B7" s="90"/>
      <c r="C7" s="90">
        <v>609617.5</v>
      </c>
      <c r="D7" s="91">
        <f t="shared" si="0"/>
        <v>609617.5</v>
      </c>
      <c r="E7" s="195"/>
    </row>
    <row r="8" spans="1:6" x14ac:dyDescent="0.25">
      <c r="A8" s="90" t="s">
        <v>361</v>
      </c>
      <c r="B8" s="90"/>
      <c r="C8" s="90">
        <v>9020534.1300000008</v>
      </c>
      <c r="D8" s="91">
        <f t="shared" si="0"/>
        <v>9020534.1300000008</v>
      </c>
      <c r="E8" s="195"/>
    </row>
    <row r="9" spans="1:6" x14ac:dyDescent="0.25">
      <c r="A9" s="92" t="s">
        <v>362</v>
      </c>
      <c r="B9" s="90">
        <v>93600</v>
      </c>
      <c r="C9" s="90"/>
      <c r="D9" s="91">
        <f t="shared" si="0"/>
        <v>93600</v>
      </c>
      <c r="E9" s="91">
        <f>D9</f>
        <v>93600</v>
      </c>
    </row>
    <row r="10" spans="1:6" x14ac:dyDescent="0.25">
      <c r="A10" s="90" t="s">
        <v>363</v>
      </c>
      <c r="B10" s="90">
        <v>516.6</v>
      </c>
      <c r="C10" s="90">
        <v>582375.56000000006</v>
      </c>
      <c r="D10" s="91">
        <f t="shared" si="0"/>
        <v>582892.16</v>
      </c>
      <c r="E10" s="195">
        <f>D10+D11+D12</f>
        <v>1263505.17</v>
      </c>
    </row>
    <row r="11" spans="1:6" x14ac:dyDescent="0.25">
      <c r="A11" s="90" t="s">
        <v>364</v>
      </c>
      <c r="B11" s="90"/>
      <c r="C11" s="90">
        <v>585850.61</v>
      </c>
      <c r="D11" s="91">
        <f t="shared" si="0"/>
        <v>585850.61</v>
      </c>
      <c r="E11" s="195"/>
    </row>
    <row r="12" spans="1:6" x14ac:dyDescent="0.25">
      <c r="A12" s="90" t="s">
        <v>365</v>
      </c>
      <c r="B12" s="90"/>
      <c r="C12" s="90">
        <v>94762.4</v>
      </c>
      <c r="D12" s="91">
        <f t="shared" si="0"/>
        <v>94762.4</v>
      </c>
      <c r="E12" s="195"/>
    </row>
    <row r="13" spans="1:6" x14ac:dyDescent="0.25">
      <c r="A13" s="90" t="s">
        <v>366</v>
      </c>
      <c r="B13" s="90">
        <v>1549588.95</v>
      </c>
      <c r="C13" s="90">
        <v>646140.71</v>
      </c>
      <c r="D13" s="91">
        <f t="shared" si="0"/>
        <v>2195729.66</v>
      </c>
      <c r="E13" s="195">
        <f>D13+D14+D15+D16+D17+D18+D19+D20+D21+D22+D23+D24+D25+D26+D27</f>
        <v>7904177.7090677973</v>
      </c>
    </row>
    <row r="14" spans="1:6" x14ac:dyDescent="0.25">
      <c r="A14" s="90" t="s">
        <v>367</v>
      </c>
      <c r="B14" s="90"/>
      <c r="C14" s="90">
        <v>65127.560000000005</v>
      </c>
      <c r="D14" s="91">
        <f t="shared" si="0"/>
        <v>65127.560000000005</v>
      </c>
      <c r="E14" s="195"/>
    </row>
    <row r="15" spans="1:6" x14ac:dyDescent="0.25">
      <c r="A15" s="90" t="s">
        <v>368</v>
      </c>
      <c r="B15" s="90"/>
      <c r="C15" s="90">
        <v>444700.38999999996</v>
      </c>
      <c r="D15" s="91">
        <f t="shared" si="0"/>
        <v>444700.38999999996</v>
      </c>
      <c r="E15" s="195"/>
    </row>
    <row r="16" spans="1:6" x14ac:dyDescent="0.25">
      <c r="A16" s="90" t="s">
        <v>369</v>
      </c>
      <c r="B16" s="90"/>
      <c r="C16" s="90">
        <v>53043</v>
      </c>
      <c r="D16" s="91">
        <f t="shared" si="0"/>
        <v>53043</v>
      </c>
      <c r="E16" s="195"/>
    </row>
    <row r="17" spans="1:6" x14ac:dyDescent="0.25">
      <c r="A17" s="90" t="s">
        <v>370</v>
      </c>
      <c r="B17" s="90"/>
      <c r="C17" s="90">
        <v>2030</v>
      </c>
      <c r="D17" s="91">
        <f t="shared" si="0"/>
        <v>2030</v>
      </c>
      <c r="E17" s="195"/>
    </row>
    <row r="18" spans="1:6" x14ac:dyDescent="0.25">
      <c r="A18" s="92" t="s">
        <v>371</v>
      </c>
      <c r="B18" s="90">
        <v>56500</v>
      </c>
      <c r="C18" s="90"/>
      <c r="D18" s="91">
        <f t="shared" si="0"/>
        <v>56500</v>
      </c>
      <c r="E18" s="195"/>
    </row>
    <row r="19" spans="1:6" x14ac:dyDescent="0.25">
      <c r="A19" s="90" t="s">
        <v>372</v>
      </c>
      <c r="B19" s="90">
        <v>313300</v>
      </c>
      <c r="C19" s="90">
        <v>34600</v>
      </c>
      <c r="D19" s="91">
        <f t="shared" si="0"/>
        <v>347900</v>
      </c>
      <c r="E19" s="195"/>
    </row>
    <row r="20" spans="1:6" x14ac:dyDescent="0.25">
      <c r="A20" s="92" t="s">
        <v>373</v>
      </c>
      <c r="B20" s="90">
        <v>665</v>
      </c>
      <c r="C20" s="90"/>
      <c r="D20" s="91">
        <f t="shared" si="0"/>
        <v>665</v>
      </c>
      <c r="E20" s="195"/>
    </row>
    <row r="21" spans="1:6" x14ac:dyDescent="0.25">
      <c r="A21" s="92" t="s">
        <v>374</v>
      </c>
      <c r="B21" s="90">
        <v>52282.84</v>
      </c>
      <c r="C21" s="90"/>
      <c r="D21" s="91">
        <f t="shared" si="0"/>
        <v>52282.84</v>
      </c>
      <c r="E21" s="195"/>
    </row>
    <row r="22" spans="1:6" x14ac:dyDescent="0.25">
      <c r="A22" s="92" t="s">
        <v>135</v>
      </c>
      <c r="B22" s="90">
        <v>4462200</v>
      </c>
      <c r="C22" s="90"/>
      <c r="D22" s="91">
        <f t="shared" si="0"/>
        <v>4462200</v>
      </c>
      <c r="E22" s="195"/>
    </row>
    <row r="23" spans="1:6" x14ac:dyDescent="0.25">
      <c r="A23" s="92" t="s">
        <v>375</v>
      </c>
      <c r="B23" s="90">
        <v>8267.5300847457638</v>
      </c>
      <c r="C23" s="90"/>
      <c r="D23" s="91">
        <f t="shared" si="0"/>
        <v>8267.5300847457638</v>
      </c>
      <c r="E23" s="195"/>
      <c r="F23" s="28">
        <f>E13+E28</f>
        <v>8603091.7290677968</v>
      </c>
    </row>
    <row r="24" spans="1:6" x14ac:dyDescent="0.25">
      <c r="A24" s="92" t="s">
        <v>376</v>
      </c>
      <c r="B24" s="90">
        <v>10445.459999999999</v>
      </c>
      <c r="C24" s="90"/>
      <c r="D24" s="91">
        <f t="shared" si="0"/>
        <v>10445.459999999999</v>
      </c>
      <c r="E24" s="195"/>
    </row>
    <row r="25" spans="1:6" x14ac:dyDescent="0.25">
      <c r="A25" s="92" t="s">
        <v>377</v>
      </c>
      <c r="B25" s="90">
        <v>48025</v>
      </c>
      <c r="C25" s="90"/>
      <c r="D25" s="91">
        <f t="shared" si="0"/>
        <v>48025</v>
      </c>
      <c r="E25" s="195"/>
    </row>
    <row r="26" spans="1:6" x14ac:dyDescent="0.25">
      <c r="A26" s="90" t="s">
        <v>378</v>
      </c>
      <c r="B26" s="90">
        <v>61016.948983050854</v>
      </c>
      <c r="C26" s="90">
        <v>80000</v>
      </c>
      <c r="D26" s="91">
        <f t="shared" si="0"/>
        <v>141016.94898305085</v>
      </c>
      <c r="E26" s="195"/>
    </row>
    <row r="27" spans="1:6" x14ac:dyDescent="0.25">
      <c r="A27" s="92" t="s">
        <v>379</v>
      </c>
      <c r="B27" s="90">
        <v>16244.32</v>
      </c>
      <c r="C27" s="90"/>
      <c r="D27" s="91">
        <f t="shared" si="0"/>
        <v>16244.32</v>
      </c>
      <c r="E27" s="195"/>
    </row>
    <row r="28" spans="1:6" x14ac:dyDescent="0.25">
      <c r="A28" s="90" t="s">
        <v>163</v>
      </c>
      <c r="B28" s="90">
        <v>59700</v>
      </c>
      <c r="C28" s="90">
        <v>399900</v>
      </c>
      <c r="D28" s="91">
        <f t="shared" si="0"/>
        <v>459600</v>
      </c>
      <c r="E28" s="195">
        <f>D28+D29+D30+D31+D32+D33</f>
        <v>698914.02</v>
      </c>
    </row>
    <row r="29" spans="1:6" x14ac:dyDescent="0.25">
      <c r="A29" s="92" t="s">
        <v>192</v>
      </c>
      <c r="B29" s="90">
        <v>22600</v>
      </c>
      <c r="C29" s="90"/>
      <c r="D29" s="91">
        <f t="shared" si="0"/>
        <v>22600</v>
      </c>
      <c r="E29" s="195"/>
    </row>
    <row r="30" spans="1:6" x14ac:dyDescent="0.25">
      <c r="A30" s="92" t="s">
        <v>380</v>
      </c>
      <c r="B30" s="90">
        <v>14693.05</v>
      </c>
      <c r="C30" s="90"/>
      <c r="D30" s="91">
        <f t="shared" si="0"/>
        <v>14693.05</v>
      </c>
      <c r="E30" s="195"/>
    </row>
    <row r="31" spans="1:6" x14ac:dyDescent="0.25">
      <c r="A31" s="90" t="s">
        <v>225</v>
      </c>
      <c r="B31" s="90"/>
      <c r="C31" s="90">
        <v>147760.97</v>
      </c>
      <c r="D31" s="91">
        <f t="shared" si="0"/>
        <v>147760.97</v>
      </c>
      <c r="E31" s="195"/>
    </row>
    <row r="32" spans="1:6" x14ac:dyDescent="0.25">
      <c r="A32" s="92" t="s">
        <v>233</v>
      </c>
      <c r="B32" s="90">
        <v>30510</v>
      </c>
      <c r="C32" s="90"/>
      <c r="D32" s="91">
        <f t="shared" si="0"/>
        <v>30510</v>
      </c>
      <c r="E32" s="195"/>
    </row>
    <row r="33" spans="1:6" x14ac:dyDescent="0.25">
      <c r="A33" s="92" t="s">
        <v>240</v>
      </c>
      <c r="B33" s="90">
        <v>23750</v>
      </c>
      <c r="C33" s="90"/>
      <c r="D33" s="91">
        <f t="shared" si="0"/>
        <v>23750</v>
      </c>
      <c r="E33" s="195"/>
    </row>
    <row r="34" spans="1:6" x14ac:dyDescent="0.25">
      <c r="A34" s="92" t="s">
        <v>381</v>
      </c>
      <c r="B34" s="90">
        <v>9000</v>
      </c>
      <c r="C34" s="90"/>
      <c r="D34" s="91">
        <f t="shared" si="0"/>
        <v>9000</v>
      </c>
      <c r="E34" s="91">
        <f>D34</f>
        <v>9000</v>
      </c>
      <c r="F34" s="28">
        <v>9000</v>
      </c>
    </row>
    <row r="35" spans="1:6" x14ac:dyDescent="0.25">
      <c r="A35" s="92" t="s">
        <v>382</v>
      </c>
      <c r="B35" s="90">
        <v>25176.400000000001</v>
      </c>
      <c r="C35" s="90"/>
      <c r="D35" s="91">
        <f t="shared" si="0"/>
        <v>25176.400000000001</v>
      </c>
      <c r="E35" s="91">
        <f>D35+D36</f>
        <v>3487537.87</v>
      </c>
    </row>
    <row r="36" spans="1:6" x14ac:dyDescent="0.25">
      <c r="A36" s="92" t="s">
        <v>383</v>
      </c>
      <c r="B36" s="90">
        <v>3462361.47</v>
      </c>
      <c r="C36" s="90"/>
      <c r="D36" s="91">
        <f t="shared" si="0"/>
        <v>3462361.47</v>
      </c>
      <c r="E36" s="92"/>
    </row>
    <row r="37" spans="1:6" s="96" customFormat="1" x14ac:dyDescent="0.25">
      <c r="A37" s="93" t="s">
        <v>384</v>
      </c>
      <c r="B37" s="94">
        <f>SUM(B3:B36)</f>
        <v>10320443.569067799</v>
      </c>
      <c r="C37" s="95">
        <f>SUM(C3:C36)</f>
        <v>21273859.459999997</v>
      </c>
      <c r="D37" s="94">
        <f t="shared" si="0"/>
        <v>31594303.029067796</v>
      </c>
      <c r="E37" s="94">
        <f>SUM(E3:E36)</f>
        <v>31594303.029067799</v>
      </c>
      <c r="F37" s="173"/>
    </row>
    <row r="40" spans="1:6" x14ac:dyDescent="0.25">
      <c r="D40" s="92" t="s">
        <v>385</v>
      </c>
      <c r="E40" s="91">
        <f>[1]ENERO!C43+[1]FEBRERO!C49+C37</f>
        <v>45171083.439999998</v>
      </c>
    </row>
    <row r="41" spans="1:6" x14ac:dyDescent="0.25">
      <c r="D41" s="92" t="s">
        <v>352</v>
      </c>
      <c r="E41" s="91">
        <f>[1]ENERO!B43+[1]FEBRERO!B49+B37</f>
        <v>12841836.449067798</v>
      </c>
    </row>
    <row r="42" spans="1:6" x14ac:dyDescent="0.25">
      <c r="D42" s="93" t="s">
        <v>355</v>
      </c>
      <c r="E42" s="94">
        <f>E40+E41</f>
        <v>58012919.889067799</v>
      </c>
    </row>
  </sheetData>
  <autoFilter ref="A2:C36">
    <sortState ref="A3:C36">
      <sortCondition ref="A2:A36"/>
    </sortState>
  </autoFilter>
  <mergeCells count="5">
    <mergeCell ref="E3:E5"/>
    <mergeCell ref="E6:E8"/>
    <mergeCell ref="E10:E12"/>
    <mergeCell ref="E13:E27"/>
    <mergeCell ref="E28:E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1"/>
  <sheetViews>
    <sheetView workbookViewId="0">
      <pane ySplit="11" topLeftCell="A36" activePane="bottomLeft" state="frozen"/>
      <selection pane="bottomLeft" activeCell="O8" sqref="O8"/>
    </sheetView>
  </sheetViews>
  <sheetFormatPr baseColWidth="10" defaultColWidth="10.85546875" defaultRowHeight="15" x14ac:dyDescent="0.25"/>
  <cols>
    <col min="1" max="1" width="9.42578125" style="97" customWidth="1"/>
    <col min="2" max="2" width="5.42578125" style="98" hidden="1" customWidth="1"/>
    <col min="3" max="3" width="63.42578125" style="99" customWidth="1"/>
    <col min="4" max="4" width="19.42578125" style="100" customWidth="1"/>
    <col min="5" max="5" width="1.5703125" style="99" customWidth="1"/>
    <col min="6" max="6" width="13.85546875" style="101" customWidth="1"/>
    <col min="7" max="7" width="16.5703125" style="102" customWidth="1"/>
    <col min="8" max="8" width="14.7109375" style="99" customWidth="1"/>
    <col min="9" max="9" width="44.5703125" style="99" customWidth="1"/>
    <col min="10" max="13" width="14.28515625" style="99" customWidth="1"/>
    <col min="14" max="14" width="13.140625" style="99" customWidth="1"/>
    <col min="15" max="16" width="13.5703125" style="99" customWidth="1"/>
    <col min="17" max="17" width="13.42578125" style="99" customWidth="1"/>
    <col min="18" max="18" width="3.42578125" style="99" customWidth="1"/>
    <col min="19" max="19" width="21" style="99" customWidth="1"/>
    <col min="20" max="20" width="14.28515625" style="99" customWidth="1"/>
    <col min="21" max="22" width="15.7109375" style="99" customWidth="1"/>
    <col min="23" max="23" width="13.140625" style="99" customWidth="1"/>
    <col min="24" max="24" width="14.5703125" style="99" customWidth="1"/>
    <col min="25" max="25" width="12.7109375" style="99" customWidth="1"/>
    <col min="26" max="26" width="12.28515625" style="99" hidden="1" customWidth="1"/>
    <col min="27" max="27" width="13.42578125" style="99" hidden="1" customWidth="1"/>
    <col min="28" max="43" width="0" style="99" hidden="1" customWidth="1"/>
    <col min="44" max="16384" width="10.85546875" style="99"/>
  </cols>
  <sheetData>
    <row r="1" spans="1:30" ht="5.25" customHeight="1" x14ac:dyDescent="0.25"/>
    <row r="2" spans="1:30" x14ac:dyDescent="0.25">
      <c r="C2" s="103" t="s">
        <v>25</v>
      </c>
      <c r="D2" s="104">
        <f>D331227</f>
        <v>0</v>
      </c>
      <c r="E2" s="105">
        <f>E331227</f>
        <v>0</v>
      </c>
      <c r="F2" s="105">
        <f>F331227</f>
        <v>0</v>
      </c>
      <c r="G2" s="106"/>
      <c r="I2" s="107" t="s">
        <v>26</v>
      </c>
      <c r="J2" s="105">
        <f>SUM(J13:J160)</f>
        <v>127503066.02</v>
      </c>
      <c r="K2" s="105">
        <f t="shared" ref="K2:Q2" si="0">SUM(K13:K164)</f>
        <v>0</v>
      </c>
      <c r="L2" s="105">
        <f t="shared" si="0"/>
        <v>0</v>
      </c>
      <c r="M2" s="105">
        <f t="shared" si="0"/>
        <v>-474803</v>
      </c>
      <c r="N2" s="105">
        <f t="shared" si="0"/>
        <v>125879510.67999999</v>
      </c>
      <c r="O2" s="105">
        <f t="shared" si="0"/>
        <v>-142601258.73000002</v>
      </c>
      <c r="P2" s="105">
        <f t="shared" si="0"/>
        <v>-46421858.800000019</v>
      </c>
      <c r="Q2" s="105">
        <f t="shared" si="0"/>
        <v>0</v>
      </c>
      <c r="S2" s="105">
        <f>SUM(N2:R2)</f>
        <v>-63143606.850000046</v>
      </c>
      <c r="T2" s="105"/>
      <c r="U2" s="108">
        <f>SUM(U13:U164)</f>
        <v>18231168.260000002</v>
      </c>
      <c r="V2" s="108">
        <f>SUM(V13:V164)</f>
        <v>1263505.17</v>
      </c>
      <c r="W2" s="108">
        <f>SUM(W13:W164)</f>
        <v>8603091.7290677968</v>
      </c>
      <c r="X2" s="105">
        <f>SUM(X13:X164)</f>
        <v>0</v>
      </c>
      <c r="Z2" s="105">
        <f>+O2+P2-N2</f>
        <v>-314902628.21000004</v>
      </c>
    </row>
    <row r="3" spans="1:30" hidden="1" x14ac:dyDescent="0.25">
      <c r="C3" s="103"/>
      <c r="D3" s="109">
        <f>+SUBTOTAL(9,D13:D165)</f>
        <v>140769678.89000005</v>
      </c>
      <c r="E3" s="103"/>
      <c r="F3" s="110">
        <f>+SUBTOTAL(9,F13:F165)</f>
        <v>16238189.159067798</v>
      </c>
      <c r="L3" s="105">
        <f>+L2-K2</f>
        <v>0</v>
      </c>
      <c r="O3" s="105"/>
    </row>
    <row r="4" spans="1:30" ht="3.75" customHeight="1" x14ac:dyDescent="0.25">
      <c r="D4" s="104"/>
      <c r="F4" s="105"/>
      <c r="L4" s="105"/>
      <c r="O4" s="105"/>
    </row>
    <row r="5" spans="1:30" ht="15.75" x14ac:dyDescent="0.25">
      <c r="B5" s="111"/>
      <c r="C5" s="198" t="s">
        <v>27</v>
      </c>
      <c r="D5" s="198"/>
      <c r="E5" s="198"/>
      <c r="F5" s="198"/>
      <c r="G5" s="112"/>
      <c r="I5" s="198" t="s">
        <v>27</v>
      </c>
      <c r="J5" s="198"/>
      <c r="K5" s="198"/>
      <c r="L5" s="198"/>
      <c r="O5" s="105"/>
      <c r="S5" s="199" t="s">
        <v>28</v>
      </c>
    </row>
    <row r="6" spans="1:30" ht="15.75" x14ac:dyDescent="0.25">
      <c r="B6" s="111"/>
      <c r="C6" s="198" t="s">
        <v>29</v>
      </c>
      <c r="D6" s="198"/>
      <c r="E6" s="198"/>
      <c r="F6" s="198"/>
      <c r="G6" s="113"/>
      <c r="H6" s="105"/>
      <c r="I6" s="198" t="s">
        <v>30</v>
      </c>
      <c r="J6" s="198"/>
      <c r="K6" s="198"/>
      <c r="L6" s="198"/>
      <c r="M6" s="105"/>
      <c r="P6" s="105"/>
      <c r="S6" s="199"/>
    </row>
    <row r="7" spans="1:30" ht="15.75" x14ac:dyDescent="0.25">
      <c r="B7" s="111"/>
      <c r="C7" s="198" t="s">
        <v>31</v>
      </c>
      <c r="D7" s="198"/>
      <c r="E7" s="198"/>
      <c r="F7" s="198"/>
      <c r="G7" s="114"/>
      <c r="H7" s="119">
        <v>61975942</v>
      </c>
      <c r="I7" s="198" t="s">
        <v>32</v>
      </c>
      <c r="J7" s="198"/>
      <c r="K7" s="198"/>
      <c r="L7" s="198"/>
      <c r="S7" s="199"/>
    </row>
    <row r="8" spans="1:30" ht="15.75" x14ac:dyDescent="0.25">
      <c r="B8" s="111"/>
      <c r="C8" s="198" t="s">
        <v>0</v>
      </c>
      <c r="D8" s="198"/>
      <c r="E8" s="198"/>
      <c r="F8" s="198"/>
      <c r="H8" s="119">
        <v>59878099.049999997</v>
      </c>
      <c r="I8" s="198" t="s">
        <v>0</v>
      </c>
      <c r="J8" s="198"/>
      <c r="K8" s="198"/>
      <c r="L8" s="198"/>
      <c r="P8" s="105"/>
      <c r="S8" s="199"/>
      <c r="T8" s="196" t="s">
        <v>33</v>
      </c>
      <c r="U8" s="196"/>
      <c r="V8" s="196"/>
      <c r="W8" s="196"/>
      <c r="X8" s="196"/>
    </row>
    <row r="9" spans="1:30" ht="23.25" customHeight="1" x14ac:dyDescent="0.25">
      <c r="D9" s="115"/>
      <c r="E9" s="105"/>
      <c r="F9" s="116">
        <f>+D27-D28</f>
        <v>-8345964.8500000006</v>
      </c>
      <c r="G9" s="114"/>
      <c r="H9" s="119">
        <f>H7-H8</f>
        <v>2097842.950000003</v>
      </c>
      <c r="J9" s="117"/>
      <c r="K9" s="117"/>
      <c r="L9" s="117"/>
      <c r="M9" s="117"/>
      <c r="N9" s="118"/>
      <c r="S9" s="199"/>
    </row>
    <row r="10" spans="1:30" ht="27" customHeight="1" x14ac:dyDescent="0.25">
      <c r="C10" s="107"/>
      <c r="G10" s="112"/>
      <c r="H10" s="119"/>
      <c r="J10" s="107" t="s">
        <v>34</v>
      </c>
      <c r="K10" s="197" t="s">
        <v>35</v>
      </c>
      <c r="L10" s="197"/>
      <c r="M10" s="107" t="s">
        <v>34</v>
      </c>
      <c r="N10" s="120" t="s">
        <v>36</v>
      </c>
      <c r="O10" s="121" t="s">
        <v>37</v>
      </c>
      <c r="P10" s="121" t="s">
        <v>37</v>
      </c>
      <c r="Q10" s="121" t="s">
        <v>37</v>
      </c>
      <c r="R10" s="120"/>
      <c r="S10" s="199"/>
      <c r="T10" s="121" t="s">
        <v>38</v>
      </c>
      <c r="U10" s="121" t="s">
        <v>39</v>
      </c>
      <c r="V10" s="121" t="s">
        <v>40</v>
      </c>
      <c r="W10" s="121" t="s">
        <v>41</v>
      </c>
      <c r="X10" s="121" t="s">
        <v>42</v>
      </c>
      <c r="Y10" s="120"/>
      <c r="Z10" s="120"/>
      <c r="AA10" s="120"/>
      <c r="AB10" s="120"/>
      <c r="AC10" s="120"/>
      <c r="AD10" s="120"/>
    </row>
    <row r="11" spans="1:30" ht="57" x14ac:dyDescent="0.25">
      <c r="A11" s="107" t="s">
        <v>1</v>
      </c>
      <c r="C11" s="122" t="s">
        <v>43</v>
      </c>
      <c r="D11" s="123">
        <v>2022</v>
      </c>
      <c r="F11" s="124">
        <v>2021</v>
      </c>
      <c r="H11" s="125" t="s">
        <v>44</v>
      </c>
      <c r="I11" s="122" t="s">
        <v>45</v>
      </c>
      <c r="J11" s="126">
        <v>43830</v>
      </c>
      <c r="K11" s="127" t="s">
        <v>46</v>
      </c>
      <c r="L11" s="127" t="s">
        <v>47</v>
      </c>
      <c r="M11" s="126">
        <v>43465</v>
      </c>
      <c r="N11" s="120" t="s">
        <v>48</v>
      </c>
      <c r="O11" s="121" t="s">
        <v>49</v>
      </c>
      <c r="P11" s="121" t="s">
        <v>50</v>
      </c>
      <c r="Q11" s="121" t="s">
        <v>51</v>
      </c>
      <c r="R11" s="120"/>
      <c r="S11" s="120"/>
      <c r="T11" s="121" t="s">
        <v>52</v>
      </c>
      <c r="U11" s="121" t="s">
        <v>53</v>
      </c>
      <c r="V11" s="121" t="s">
        <v>54</v>
      </c>
      <c r="W11" s="121" t="s">
        <v>55</v>
      </c>
      <c r="X11" s="121" t="s">
        <v>56</v>
      </c>
      <c r="Y11" s="120"/>
      <c r="Z11" s="120"/>
      <c r="AA11" s="120"/>
      <c r="AB11" s="120"/>
      <c r="AC11" s="120"/>
      <c r="AD11" s="120"/>
    </row>
    <row r="12" spans="1:30" x14ac:dyDescent="0.25">
      <c r="A12" s="97" t="s">
        <v>57</v>
      </c>
      <c r="C12" s="128" t="s">
        <v>58</v>
      </c>
      <c r="D12" s="123"/>
      <c r="F12" s="124"/>
      <c r="J12" s="129" t="s">
        <v>59</v>
      </c>
      <c r="K12" s="129" t="s">
        <v>60</v>
      </c>
      <c r="L12" s="129" t="s">
        <v>61</v>
      </c>
      <c r="M12" s="129" t="s">
        <v>62</v>
      </c>
      <c r="N12" s="130" t="s">
        <v>63</v>
      </c>
      <c r="O12" s="120"/>
      <c r="P12" s="120"/>
      <c r="Q12" s="120"/>
      <c r="R12" s="120"/>
      <c r="S12" s="105">
        <f t="shared" ref="S12:S75" si="1">SUM(N12:R12)</f>
        <v>0</v>
      </c>
      <c r="T12" s="141" t="e">
        <f t="shared" ref="T12:T37" si="2">-N12</f>
        <v>#VALUE!</v>
      </c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</row>
    <row r="13" spans="1:30" x14ac:dyDescent="0.25">
      <c r="A13" s="97" t="s">
        <v>2</v>
      </c>
      <c r="B13" s="98" t="s">
        <v>2</v>
      </c>
      <c r="C13" s="99" t="s">
        <v>64</v>
      </c>
      <c r="D13" s="104">
        <v>6959.34</v>
      </c>
      <c r="E13" s="105"/>
      <c r="F13" s="105"/>
      <c r="H13" s="99">
        <f>G13*15.39%</f>
        <v>0</v>
      </c>
      <c r="S13" s="105">
        <f t="shared" si="1"/>
        <v>0</v>
      </c>
      <c r="T13" s="141">
        <f t="shared" si="2"/>
        <v>0</v>
      </c>
    </row>
    <row r="14" spans="1:30" x14ac:dyDescent="0.25">
      <c r="A14" s="97" t="s">
        <v>2</v>
      </c>
      <c r="B14" s="98" t="s">
        <v>2</v>
      </c>
      <c r="C14" s="131" t="s">
        <v>65</v>
      </c>
      <c r="D14" s="132">
        <v>8163925.4400000004</v>
      </c>
      <c r="E14" s="105"/>
      <c r="F14" s="133"/>
      <c r="G14" s="114"/>
      <c r="H14" s="99">
        <f>G13+H13</f>
        <v>0</v>
      </c>
      <c r="I14" s="99" t="s">
        <v>66</v>
      </c>
      <c r="J14" s="105">
        <f>D14+D15+D16+D17</f>
        <v>18483076.829999998</v>
      </c>
      <c r="M14" s="105">
        <f>F14+F15+F16+F17</f>
        <v>0</v>
      </c>
      <c r="N14" s="106">
        <f>+J14+K14-L14-M14</f>
        <v>18483076.829999998</v>
      </c>
      <c r="O14" s="105">
        <f>-N14</f>
        <v>-18483076.829999998</v>
      </c>
      <c r="P14" s="105"/>
      <c r="Q14" s="105"/>
      <c r="R14" s="105"/>
      <c r="S14" s="105">
        <f t="shared" si="1"/>
        <v>0</v>
      </c>
      <c r="T14" s="141">
        <f t="shared" si="2"/>
        <v>-18483076.829999998</v>
      </c>
      <c r="Y14" s="105"/>
    </row>
    <row r="15" spans="1:30" ht="15.75" x14ac:dyDescent="0.25">
      <c r="C15" s="99" t="s">
        <v>386</v>
      </c>
      <c r="D15" s="132">
        <v>-98563.42</v>
      </c>
      <c r="E15" s="105"/>
      <c r="F15" s="134"/>
      <c r="G15" s="114"/>
      <c r="J15" s="105"/>
      <c r="M15" s="105"/>
      <c r="N15" s="106">
        <f>+J15+K15-L15-M15</f>
        <v>0</v>
      </c>
      <c r="O15" s="105"/>
      <c r="P15" s="105"/>
      <c r="Q15" s="105"/>
      <c r="R15" s="105"/>
      <c r="S15" s="105">
        <f t="shared" si="1"/>
        <v>0</v>
      </c>
      <c r="T15" s="141">
        <f t="shared" si="2"/>
        <v>0</v>
      </c>
      <c r="Y15" s="105"/>
    </row>
    <row r="16" spans="1:30" x14ac:dyDescent="0.25">
      <c r="A16" s="97" t="s">
        <v>2</v>
      </c>
      <c r="C16" s="99" t="s">
        <v>67</v>
      </c>
      <c r="D16" s="132">
        <v>10193133.699999999</v>
      </c>
      <c r="E16" s="105"/>
      <c r="F16" s="105"/>
      <c r="G16" s="112"/>
      <c r="H16" s="133">
        <f>F16-G16</f>
        <v>0</v>
      </c>
      <c r="J16" s="105"/>
      <c r="M16" s="105"/>
      <c r="N16" s="106">
        <v>0</v>
      </c>
      <c r="O16" s="105"/>
      <c r="P16" s="105"/>
      <c r="Q16" s="105"/>
      <c r="R16" s="105"/>
      <c r="S16" s="105">
        <f t="shared" si="1"/>
        <v>0</v>
      </c>
      <c r="T16" s="141">
        <f t="shared" si="2"/>
        <v>0</v>
      </c>
      <c r="Y16" s="105"/>
    </row>
    <row r="17" spans="1:25" x14ac:dyDescent="0.25">
      <c r="A17" s="97" t="s">
        <v>2</v>
      </c>
      <c r="C17" s="131" t="s">
        <v>387</v>
      </c>
      <c r="D17" s="132">
        <v>224581.11</v>
      </c>
      <c r="E17" s="105"/>
      <c r="F17" s="105"/>
      <c r="G17" s="112"/>
      <c r="H17" s="133"/>
      <c r="J17" s="105"/>
      <c r="M17" s="105"/>
      <c r="N17" s="106">
        <f t="shared" ref="N17:N81" si="3">+J17+K17-L17-M17</f>
        <v>0</v>
      </c>
      <c r="O17" s="105"/>
      <c r="P17" s="105"/>
      <c r="Q17" s="105"/>
      <c r="R17" s="105"/>
      <c r="S17" s="105">
        <f t="shared" si="1"/>
        <v>0</v>
      </c>
      <c r="T17" s="141">
        <f t="shared" si="2"/>
        <v>0</v>
      </c>
      <c r="Y17" s="105"/>
    </row>
    <row r="18" spans="1:25" x14ac:dyDescent="0.25">
      <c r="A18" s="97" t="s">
        <v>3</v>
      </c>
      <c r="C18" s="131" t="s">
        <v>68</v>
      </c>
      <c r="D18" s="132">
        <v>0</v>
      </c>
      <c r="E18" s="105"/>
      <c r="F18" s="105"/>
      <c r="G18" s="112"/>
      <c r="H18" s="105"/>
      <c r="I18" s="99" t="str">
        <f>+C18</f>
        <v>CI 7297 Prevencion para Des. Temp. Ciclonica</v>
      </c>
      <c r="J18" s="105">
        <f>D18</f>
        <v>0</v>
      </c>
      <c r="M18" s="105"/>
      <c r="N18" s="106">
        <f t="shared" si="3"/>
        <v>0</v>
      </c>
      <c r="O18" s="105">
        <f>-N18</f>
        <v>0</v>
      </c>
      <c r="P18" s="105"/>
      <c r="Q18" s="105"/>
      <c r="S18" s="105">
        <f t="shared" si="1"/>
        <v>0</v>
      </c>
      <c r="T18" s="141">
        <f t="shared" si="2"/>
        <v>0</v>
      </c>
      <c r="Y18" s="105"/>
    </row>
    <row r="19" spans="1:25" x14ac:dyDescent="0.25">
      <c r="A19" s="97" t="s">
        <v>4</v>
      </c>
      <c r="C19" s="99" t="s">
        <v>69</v>
      </c>
      <c r="D19" s="132">
        <v>1087476</v>
      </c>
      <c r="E19" s="105"/>
      <c r="F19" s="133"/>
      <c r="G19" s="114"/>
      <c r="H19" s="99" t="s">
        <v>70</v>
      </c>
      <c r="I19" s="99" t="str">
        <f>+C19</f>
        <v>Material gastable</v>
      </c>
      <c r="J19" s="105">
        <f>D19</f>
        <v>1087476</v>
      </c>
      <c r="M19" s="105">
        <f>F19</f>
        <v>0</v>
      </c>
      <c r="N19" s="106">
        <f t="shared" si="3"/>
        <v>1087476</v>
      </c>
      <c r="O19" s="105">
        <f>-N19</f>
        <v>-1087476</v>
      </c>
      <c r="P19" s="105"/>
      <c r="Q19" s="105"/>
      <c r="S19" s="105">
        <f>SUM(N19:R19)</f>
        <v>0</v>
      </c>
      <c r="T19" s="141">
        <f t="shared" si="2"/>
        <v>-1087476</v>
      </c>
      <c r="W19" s="105"/>
      <c r="Y19" s="105"/>
    </row>
    <row r="20" spans="1:25" x14ac:dyDescent="0.25">
      <c r="A20" s="97" t="s">
        <v>5</v>
      </c>
      <c r="C20" s="99" t="s">
        <v>71</v>
      </c>
      <c r="D20" s="132"/>
      <c r="E20" s="105"/>
      <c r="F20" s="105"/>
      <c r="G20" s="114"/>
      <c r="J20" s="105">
        <f>D20</f>
        <v>0</v>
      </c>
      <c r="M20" s="105"/>
      <c r="N20" s="106">
        <f t="shared" si="3"/>
        <v>0</v>
      </c>
      <c r="O20" s="105">
        <f>-N20</f>
        <v>0</v>
      </c>
      <c r="P20" s="105"/>
      <c r="Q20" s="105">
        <f>N3-'[2]ECANP-Cambio Patrimonio'!M21</f>
        <v>0</v>
      </c>
      <c r="S20" s="105">
        <f t="shared" si="1"/>
        <v>0</v>
      </c>
      <c r="T20" s="141">
        <f t="shared" si="2"/>
        <v>0</v>
      </c>
      <c r="W20" s="105">
        <f>+O20</f>
        <v>0</v>
      </c>
      <c r="Y20" s="105">
        <f>SUM(T20:X20)-O20</f>
        <v>0</v>
      </c>
    </row>
    <row r="21" spans="1:25" ht="15.75" x14ac:dyDescent="0.25">
      <c r="A21" s="97" t="s">
        <v>8</v>
      </c>
      <c r="C21" s="99" t="s">
        <v>72</v>
      </c>
      <c r="D21" s="135">
        <v>177720623.99000001</v>
      </c>
      <c r="E21" s="105"/>
      <c r="F21" s="105"/>
      <c r="G21" s="113"/>
      <c r="H21" s="99" t="s">
        <v>73</v>
      </c>
      <c r="I21" s="99" t="str">
        <f>+C21</f>
        <v>Mobiliarios y equipos de oficina</v>
      </c>
      <c r="J21" s="105">
        <f>D21</f>
        <v>177720623.99000001</v>
      </c>
      <c r="K21" s="106"/>
      <c r="M21" s="105">
        <f>F21</f>
        <v>0</v>
      </c>
      <c r="N21" s="106">
        <f t="shared" si="3"/>
        <v>177720623.99000001</v>
      </c>
      <c r="O21" s="105">
        <f>-N21</f>
        <v>-177720623.99000001</v>
      </c>
      <c r="P21" s="105"/>
      <c r="Q21" s="105"/>
      <c r="S21" s="105"/>
      <c r="T21" s="141">
        <f t="shared" si="2"/>
        <v>-177720623.99000001</v>
      </c>
      <c r="Y21" s="105">
        <f>SUM(T21:X21)-O21</f>
        <v>0</v>
      </c>
    </row>
    <row r="22" spans="1:25" x14ac:dyDescent="0.25">
      <c r="A22" s="97" t="s">
        <v>8</v>
      </c>
      <c r="C22" s="99" t="s">
        <v>74</v>
      </c>
      <c r="D22" s="136">
        <v>-117842524.94</v>
      </c>
      <c r="E22" s="105"/>
      <c r="F22" s="105"/>
      <c r="G22" s="113"/>
      <c r="I22" s="99" t="str">
        <f>+C22</f>
        <v>Depreciación acumulada</v>
      </c>
      <c r="J22" s="105">
        <f>D22</f>
        <v>-117842524.94</v>
      </c>
      <c r="K22" s="137"/>
      <c r="L22" s="106"/>
      <c r="M22" s="105">
        <f>F22</f>
        <v>0</v>
      </c>
      <c r="N22" s="106">
        <f t="shared" si="3"/>
        <v>-117842524.94</v>
      </c>
      <c r="O22" s="105">
        <f>-N22</f>
        <v>117842524.94</v>
      </c>
      <c r="P22" s="105"/>
      <c r="Q22" s="105">
        <f>N5-'[2]ECANP-Cambio Patrimonio'!M23</f>
        <v>0</v>
      </c>
      <c r="S22" s="105">
        <f t="shared" si="1"/>
        <v>0</v>
      </c>
      <c r="T22" s="141">
        <f t="shared" si="2"/>
        <v>117842524.94</v>
      </c>
      <c r="Y22" s="105">
        <f>SUM(T22:X22)-O22</f>
        <v>0</v>
      </c>
    </row>
    <row r="23" spans="1:25" x14ac:dyDescent="0.25">
      <c r="A23" s="97" t="s">
        <v>9</v>
      </c>
      <c r="C23" s="99" t="s">
        <v>75</v>
      </c>
      <c r="D23" s="132"/>
      <c r="E23" s="105"/>
      <c r="F23" s="105"/>
      <c r="G23" s="113"/>
      <c r="H23" s="99" t="s">
        <v>73</v>
      </c>
      <c r="I23" s="99" t="str">
        <f>+C23</f>
        <v>Intangibles</v>
      </c>
      <c r="J23" s="105">
        <f>+D23</f>
        <v>0</v>
      </c>
      <c r="K23" s="106"/>
      <c r="L23" s="105"/>
      <c r="M23" s="105"/>
      <c r="N23" s="106">
        <f t="shared" si="3"/>
        <v>0</v>
      </c>
      <c r="P23" s="105">
        <f>-N23</f>
        <v>0</v>
      </c>
      <c r="S23" s="105">
        <f t="shared" si="1"/>
        <v>0</v>
      </c>
      <c r="T23" s="141">
        <f t="shared" si="2"/>
        <v>0</v>
      </c>
      <c r="Y23" s="105"/>
    </row>
    <row r="24" spans="1:25" x14ac:dyDescent="0.25">
      <c r="A24" s="97" t="s">
        <v>9</v>
      </c>
      <c r="C24" s="99" t="s">
        <v>76</v>
      </c>
      <c r="D24" s="132"/>
      <c r="E24" s="105"/>
      <c r="F24" s="105"/>
      <c r="G24" s="113"/>
      <c r="I24" s="99" t="str">
        <f>+C24</f>
        <v>Amortización</v>
      </c>
      <c r="J24" s="105">
        <f>+D24</f>
        <v>0</v>
      </c>
      <c r="K24" s="105"/>
      <c r="L24" s="105"/>
      <c r="M24" s="105"/>
      <c r="N24" s="106">
        <f t="shared" si="3"/>
        <v>0</v>
      </c>
      <c r="P24" s="105">
        <f t="shared" ref="P24:P88" si="4">-N24</f>
        <v>0</v>
      </c>
      <c r="S24" s="105">
        <f t="shared" si="1"/>
        <v>0</v>
      </c>
      <c r="T24" s="141">
        <f t="shared" si="2"/>
        <v>0</v>
      </c>
      <c r="Y24" s="105"/>
    </row>
    <row r="25" spans="1:25" x14ac:dyDescent="0.25">
      <c r="D25" s="132"/>
      <c r="E25" s="105"/>
      <c r="F25" s="105"/>
      <c r="G25" s="113"/>
      <c r="J25" s="105"/>
      <c r="K25" s="105"/>
      <c r="L25" s="105"/>
      <c r="M25" s="105"/>
      <c r="N25" s="106">
        <f t="shared" si="3"/>
        <v>0</v>
      </c>
      <c r="P25" s="105">
        <f t="shared" si="4"/>
        <v>0</v>
      </c>
      <c r="S25" s="105">
        <f t="shared" si="1"/>
        <v>0</v>
      </c>
      <c r="T25" s="141">
        <f t="shared" si="2"/>
        <v>0</v>
      </c>
      <c r="Y25" s="105"/>
    </row>
    <row r="26" spans="1:25" x14ac:dyDescent="0.25">
      <c r="A26" s="97" t="s">
        <v>57</v>
      </c>
      <c r="C26" s="128" t="s">
        <v>77</v>
      </c>
      <c r="D26" s="132"/>
      <c r="E26" s="105"/>
      <c r="F26" s="105"/>
      <c r="G26" s="114"/>
      <c r="J26" s="105"/>
      <c r="K26" s="105"/>
      <c r="L26" s="105"/>
      <c r="M26" s="105"/>
      <c r="N26" s="106">
        <f t="shared" si="3"/>
        <v>0</v>
      </c>
      <c r="P26" s="105">
        <f t="shared" si="4"/>
        <v>0</v>
      </c>
      <c r="S26" s="105">
        <f t="shared" si="1"/>
        <v>0</v>
      </c>
      <c r="T26" s="141">
        <f t="shared" si="2"/>
        <v>0</v>
      </c>
      <c r="Y26" s="105"/>
    </row>
    <row r="27" spans="1:25" x14ac:dyDescent="0.25">
      <c r="A27" s="97" t="s">
        <v>13</v>
      </c>
      <c r="C27" s="99" t="s">
        <v>78</v>
      </c>
      <c r="D27" s="138">
        <v>-9241672.6300000008</v>
      </c>
      <c r="E27" s="105"/>
      <c r="F27" s="105">
        <v>-11393773</v>
      </c>
      <c r="G27" s="113">
        <f>F27-'EFE-Flujo de Efectivo'!C53</f>
        <v>-5617877.4699999997</v>
      </c>
      <c r="H27" s="99" t="s">
        <v>70</v>
      </c>
      <c r="I27" s="99" t="str">
        <f>+C27</f>
        <v>Cuentas por pagar</v>
      </c>
      <c r="J27" s="105">
        <f>+D27</f>
        <v>-9241672.6300000008</v>
      </c>
      <c r="K27" s="105"/>
      <c r="L27" s="105"/>
      <c r="M27" s="105"/>
      <c r="N27" s="106">
        <f t="shared" si="3"/>
        <v>-9241672.6300000008</v>
      </c>
      <c r="O27" s="105">
        <f>-N27</f>
        <v>9241672.6300000008</v>
      </c>
      <c r="P27" s="105">
        <f t="shared" si="4"/>
        <v>9241672.6300000008</v>
      </c>
      <c r="S27" s="105">
        <f>SUM(N27:R27)</f>
        <v>9241672.6300000008</v>
      </c>
      <c r="T27" s="141">
        <f t="shared" si="2"/>
        <v>9241672.6300000008</v>
      </c>
      <c r="W27" s="105"/>
      <c r="Y27" s="105">
        <f>SUM(T27:X27)-O27</f>
        <v>0</v>
      </c>
    </row>
    <row r="28" spans="1:25" x14ac:dyDescent="0.25">
      <c r="A28" s="97" t="s">
        <v>16</v>
      </c>
      <c r="C28" s="99" t="s">
        <v>17</v>
      </c>
      <c r="D28" s="139">
        <v>-895707.78</v>
      </c>
      <c r="E28" s="105"/>
      <c r="F28" s="105">
        <v>-474803</v>
      </c>
      <c r="G28" s="113">
        <f>D28-F28</f>
        <v>-420904.78</v>
      </c>
      <c r="I28" s="99" t="str">
        <f>+C28</f>
        <v>Retenciones y acumulaciones por pagar</v>
      </c>
      <c r="J28" s="105">
        <f>+D28</f>
        <v>-895707.78</v>
      </c>
      <c r="K28" s="105"/>
      <c r="L28" s="105"/>
      <c r="M28" s="105">
        <f>F28</f>
        <v>-474803</v>
      </c>
      <c r="N28" s="106">
        <f t="shared" si="3"/>
        <v>-420904.78</v>
      </c>
      <c r="O28" s="105">
        <f>-N28</f>
        <v>420904.78</v>
      </c>
      <c r="P28" s="105">
        <f t="shared" si="4"/>
        <v>420904.78</v>
      </c>
      <c r="S28" s="105">
        <f t="shared" si="1"/>
        <v>420904.78</v>
      </c>
      <c r="T28" s="141">
        <f t="shared" si="2"/>
        <v>420904.78</v>
      </c>
      <c r="Y28" s="105">
        <f>SUM(T28:X28)-O28</f>
        <v>0</v>
      </c>
    </row>
    <row r="29" spans="1:25" x14ac:dyDescent="0.25">
      <c r="C29" s="99" t="s">
        <v>391</v>
      </c>
      <c r="D29" s="132">
        <v>1201105.48</v>
      </c>
      <c r="E29" s="105"/>
      <c r="F29" s="105"/>
      <c r="G29" s="113">
        <f>D29-F29</f>
        <v>1201105.48</v>
      </c>
      <c r="J29" s="105"/>
      <c r="K29" s="105"/>
      <c r="L29" s="105"/>
      <c r="M29" s="105"/>
      <c r="N29" s="106">
        <f t="shared" si="3"/>
        <v>0</v>
      </c>
      <c r="O29" s="105"/>
      <c r="P29" s="105">
        <f t="shared" si="4"/>
        <v>0</v>
      </c>
      <c r="S29" s="105">
        <f t="shared" si="1"/>
        <v>0</v>
      </c>
      <c r="T29" s="141">
        <f t="shared" si="2"/>
        <v>0</v>
      </c>
      <c r="Y29" s="105"/>
    </row>
    <row r="30" spans="1:25" x14ac:dyDescent="0.25">
      <c r="A30" s="97" t="s">
        <v>57</v>
      </c>
      <c r="C30" s="128" t="s">
        <v>79</v>
      </c>
      <c r="D30" s="132"/>
      <c r="E30" s="105"/>
      <c r="F30" s="105"/>
      <c r="G30" s="112"/>
      <c r="J30" s="105"/>
      <c r="K30" s="105"/>
      <c r="L30" s="105"/>
      <c r="M30" s="105"/>
      <c r="N30" s="106">
        <f t="shared" si="3"/>
        <v>0</v>
      </c>
      <c r="O30" s="105"/>
      <c r="P30" s="105">
        <f t="shared" si="4"/>
        <v>0</v>
      </c>
      <c r="S30" s="105">
        <f t="shared" si="1"/>
        <v>0</v>
      </c>
      <c r="T30" s="141">
        <f t="shared" si="2"/>
        <v>0</v>
      </c>
      <c r="Y30" s="105"/>
    </row>
    <row r="31" spans="1:25" x14ac:dyDescent="0.25">
      <c r="C31" s="140" t="s">
        <v>18</v>
      </c>
      <c r="D31" s="132">
        <f>'ECANP-Cambio Patrimonio'!D20</f>
        <v>51695326</v>
      </c>
      <c r="E31" s="106"/>
      <c r="F31" s="106"/>
      <c r="G31" s="112"/>
      <c r="J31" s="105">
        <f>D31</f>
        <v>51695326</v>
      </c>
      <c r="K31" s="105"/>
      <c r="L31" s="105"/>
      <c r="M31" s="105">
        <f>F31</f>
        <v>0</v>
      </c>
      <c r="N31" s="106">
        <f t="shared" si="3"/>
        <v>51695326</v>
      </c>
      <c r="O31" s="105">
        <f>-N31</f>
        <v>-51695326</v>
      </c>
      <c r="P31" s="105">
        <f t="shared" si="4"/>
        <v>-51695326</v>
      </c>
      <c r="S31" s="105">
        <f t="shared" si="1"/>
        <v>-51695326</v>
      </c>
      <c r="T31" s="141">
        <f t="shared" si="2"/>
        <v>-51695326</v>
      </c>
      <c r="Y31" s="105"/>
    </row>
    <row r="32" spans="1:25" x14ac:dyDescent="0.25">
      <c r="A32" s="97" t="s">
        <v>21</v>
      </c>
      <c r="C32" s="99" t="s">
        <v>80</v>
      </c>
      <c r="D32" s="132">
        <f>'ECANP-Cambio Patrimonio'!G13</f>
        <v>18555016.600000001</v>
      </c>
      <c r="E32" s="106"/>
      <c r="F32" s="106"/>
      <c r="G32" s="112">
        <v>2098358.34</v>
      </c>
      <c r="I32" s="99" t="str">
        <f>+C32</f>
        <v>Resultado acumulado</v>
      </c>
      <c r="J32" s="105">
        <f>D32</f>
        <v>18555016.600000001</v>
      </c>
      <c r="K32" s="105"/>
      <c r="L32" s="105"/>
      <c r="M32" s="105">
        <f>F32</f>
        <v>0</v>
      </c>
      <c r="N32" s="106">
        <f>+J32+K32-L32-M32</f>
        <v>18555016.600000001</v>
      </c>
      <c r="O32" s="105">
        <f>-N32</f>
        <v>-18555016.600000001</v>
      </c>
      <c r="P32" s="105">
        <f t="shared" si="4"/>
        <v>-18555016.600000001</v>
      </c>
      <c r="S32" s="105">
        <f t="shared" si="1"/>
        <v>-18555016.600000001</v>
      </c>
      <c r="T32" s="141">
        <f t="shared" si="2"/>
        <v>-18555016.600000001</v>
      </c>
      <c r="W32" s="105"/>
      <c r="Y32" s="105">
        <f>SUM(T32:X32)-O32</f>
        <v>0</v>
      </c>
    </row>
    <row r="33" spans="1:25" ht="15" customHeight="1" x14ac:dyDescent="0.25">
      <c r="A33" s="97" t="s">
        <v>19</v>
      </c>
      <c r="C33" s="99" t="s">
        <v>81</v>
      </c>
      <c r="D33" s="132">
        <f>' ERF-Rendimiento Financiero'!F27</f>
        <v>-7646175.4490677938</v>
      </c>
      <c r="E33" s="141"/>
      <c r="F33" s="106"/>
      <c r="G33" s="112"/>
      <c r="I33" s="99" t="str">
        <f>+C33</f>
        <v>Resultado del período</v>
      </c>
      <c r="J33" s="105">
        <f>D33</f>
        <v>-7646175.4490677938</v>
      </c>
      <c r="K33" s="105"/>
      <c r="L33" s="105"/>
      <c r="M33" s="105">
        <f>F33</f>
        <v>0</v>
      </c>
      <c r="N33" s="106">
        <f>+J33+K33-L33-M33</f>
        <v>-7646175.4490677938</v>
      </c>
      <c r="O33" s="105">
        <f>-N33</f>
        <v>7646175.4490677938</v>
      </c>
      <c r="P33" s="105">
        <f t="shared" si="4"/>
        <v>7646175.4490677938</v>
      </c>
      <c r="S33" s="105">
        <f t="shared" si="1"/>
        <v>7646175.4490677938</v>
      </c>
      <c r="T33" s="141">
        <f t="shared" si="2"/>
        <v>7646175.4490677938</v>
      </c>
      <c r="Y33" s="105"/>
    </row>
    <row r="34" spans="1:25" s="143" customFormat="1" ht="15.6" customHeight="1" x14ac:dyDescent="0.25">
      <c r="A34" s="142"/>
      <c r="B34" s="98"/>
      <c r="C34" s="143" t="s">
        <v>82</v>
      </c>
      <c r="D34" s="144"/>
      <c r="E34" s="145"/>
      <c r="F34" s="145"/>
      <c r="G34" s="146"/>
      <c r="I34" s="99" t="str">
        <f>+C34</f>
        <v>Ajustes</v>
      </c>
      <c r="J34" s="105">
        <f>D37</f>
        <v>-1150000</v>
      </c>
      <c r="K34" s="116"/>
      <c r="M34" s="116"/>
      <c r="N34" s="106">
        <f t="shared" si="3"/>
        <v>-1150000</v>
      </c>
      <c r="O34" s="105">
        <f>-N34</f>
        <v>1150000</v>
      </c>
      <c r="P34" s="105">
        <f t="shared" si="4"/>
        <v>1150000</v>
      </c>
      <c r="Q34" s="99"/>
      <c r="S34" s="105">
        <f t="shared" si="1"/>
        <v>1150000</v>
      </c>
      <c r="T34" s="141">
        <f t="shared" si="2"/>
        <v>1150000</v>
      </c>
      <c r="Y34" s="116"/>
    </row>
    <row r="35" spans="1:25" s="143" customFormat="1" x14ac:dyDescent="0.25">
      <c r="A35" s="142"/>
      <c r="B35" s="98"/>
      <c r="D35" s="144"/>
      <c r="E35" s="141"/>
      <c r="F35" s="145"/>
      <c r="G35" s="146"/>
      <c r="I35" s="116"/>
      <c r="J35" s="105">
        <f t="shared" ref="J35" si="5">D38</f>
        <v>-16721748.050000001</v>
      </c>
      <c r="K35" s="116"/>
      <c r="M35" s="116"/>
      <c r="N35" s="106">
        <f t="shared" si="3"/>
        <v>-16721748.050000001</v>
      </c>
      <c r="O35" s="116"/>
      <c r="P35" s="105">
        <f t="shared" si="4"/>
        <v>16721748.050000001</v>
      </c>
      <c r="Q35" s="99"/>
      <c r="S35" s="105">
        <f>SUM(N35:R35)</f>
        <v>0</v>
      </c>
      <c r="T35" s="141">
        <f t="shared" si="2"/>
        <v>16721748.050000001</v>
      </c>
      <c r="Y35" s="116"/>
    </row>
    <row r="36" spans="1:25" s="143" customFormat="1" x14ac:dyDescent="0.25">
      <c r="A36" s="142" t="s">
        <v>57</v>
      </c>
      <c r="B36" s="98"/>
      <c r="C36" s="128" t="s">
        <v>83</v>
      </c>
      <c r="D36" s="144"/>
      <c r="E36" s="141"/>
      <c r="F36" s="106"/>
      <c r="G36" s="146"/>
      <c r="J36" s="105">
        <f>D40</f>
        <v>-24000</v>
      </c>
      <c r="M36" s="116"/>
      <c r="N36" s="106">
        <f t="shared" si="3"/>
        <v>-24000</v>
      </c>
      <c r="O36" s="116">
        <f>-N36</f>
        <v>24000</v>
      </c>
      <c r="P36" s="105">
        <f t="shared" si="4"/>
        <v>24000</v>
      </c>
      <c r="Q36" s="99"/>
      <c r="S36" s="105">
        <f t="shared" si="1"/>
        <v>24000</v>
      </c>
      <c r="T36" s="141">
        <f t="shared" si="2"/>
        <v>24000</v>
      </c>
      <c r="Y36" s="116">
        <f t="shared" ref="Y36:Y60" si="6">SUM(T36:X36)-O36</f>
        <v>0</v>
      </c>
    </row>
    <row r="37" spans="1:25" s="145" customFormat="1" x14ac:dyDescent="0.25">
      <c r="A37" s="147" t="s">
        <v>84</v>
      </c>
      <c r="B37" s="148"/>
      <c r="C37" s="99" t="s">
        <v>85</v>
      </c>
      <c r="D37" s="132">
        <v>-1150000</v>
      </c>
      <c r="E37" s="141">
        <v>-1055000</v>
      </c>
      <c r="F37" s="106"/>
      <c r="G37" s="141"/>
      <c r="I37" s="145" t="s">
        <v>85</v>
      </c>
      <c r="J37" s="105">
        <f>D41</f>
        <v>0</v>
      </c>
      <c r="M37" s="141">
        <f>F37</f>
        <v>0</v>
      </c>
      <c r="N37" s="106">
        <f t="shared" si="3"/>
        <v>0</v>
      </c>
      <c r="O37" s="141">
        <f>-N37</f>
        <v>0</v>
      </c>
      <c r="P37" s="105">
        <f t="shared" si="4"/>
        <v>0</v>
      </c>
      <c r="Q37" s="99"/>
      <c r="S37" s="105">
        <f t="shared" si="1"/>
        <v>0</v>
      </c>
      <c r="T37" s="141">
        <f t="shared" si="2"/>
        <v>0</v>
      </c>
      <c r="Y37" s="141"/>
    </row>
    <row r="38" spans="1:25" s="145" customFormat="1" x14ac:dyDescent="0.25">
      <c r="A38" s="147" t="s">
        <v>86</v>
      </c>
      <c r="B38" s="148"/>
      <c r="C38" s="99" t="s">
        <v>87</v>
      </c>
      <c r="D38" s="171">
        <v>-16721748.050000001</v>
      </c>
      <c r="E38" s="141"/>
      <c r="F38" s="106"/>
      <c r="G38" s="141"/>
      <c r="I38" s="145" t="s">
        <v>87</v>
      </c>
      <c r="J38" s="116">
        <f>D38</f>
        <v>-16721748.050000001</v>
      </c>
      <c r="M38" s="141">
        <f>F38</f>
        <v>0</v>
      </c>
      <c r="N38" s="106">
        <f t="shared" si="3"/>
        <v>-16721748.050000001</v>
      </c>
      <c r="O38" s="141">
        <f>-N38</f>
        <v>16721748.050000001</v>
      </c>
      <c r="P38" s="105">
        <f t="shared" si="4"/>
        <v>16721748.050000001</v>
      </c>
      <c r="Q38" s="99"/>
      <c r="S38" s="105">
        <f t="shared" si="1"/>
        <v>16721748.050000001</v>
      </c>
      <c r="T38" s="141">
        <f>-N38</f>
        <v>16721748.050000001</v>
      </c>
      <c r="Y38" s="141"/>
    </row>
    <row r="39" spans="1:25" s="145" customFormat="1" x14ac:dyDescent="0.25">
      <c r="A39" s="147" t="s">
        <v>86</v>
      </c>
      <c r="B39" s="148"/>
      <c r="C39" s="99" t="s">
        <v>388</v>
      </c>
      <c r="D39" s="171">
        <v>-4663200</v>
      </c>
      <c r="E39" s="141"/>
      <c r="F39" s="106"/>
      <c r="G39" s="141"/>
      <c r="J39" s="116"/>
      <c r="M39" s="141"/>
      <c r="N39" s="106"/>
      <c r="O39" s="141"/>
      <c r="P39" s="105"/>
      <c r="Q39" s="99"/>
      <c r="S39" s="105"/>
      <c r="T39" s="141"/>
      <c r="Y39" s="141"/>
    </row>
    <row r="40" spans="1:25" s="140" customFormat="1" x14ac:dyDescent="0.25">
      <c r="A40" s="149" t="s">
        <v>88</v>
      </c>
      <c r="B40" s="148"/>
      <c r="C40" s="143" t="s">
        <v>89</v>
      </c>
      <c r="D40" s="132">
        <v>-24000</v>
      </c>
      <c r="E40" s="106"/>
      <c r="G40" s="150"/>
      <c r="I40" s="140" t="str">
        <f>+C40</f>
        <v>Recargos, multas y otros ingresos</v>
      </c>
      <c r="J40" s="105">
        <f>G2</f>
        <v>0</v>
      </c>
      <c r="M40" s="141"/>
      <c r="N40" s="106">
        <f t="shared" si="3"/>
        <v>0</v>
      </c>
      <c r="O40" s="141">
        <f>-N40</f>
        <v>0</v>
      </c>
      <c r="P40" s="105">
        <f t="shared" si="4"/>
        <v>0</v>
      </c>
      <c r="Q40" s="99"/>
      <c r="S40" s="105">
        <f t="shared" si="1"/>
        <v>0</v>
      </c>
      <c r="T40" s="141">
        <f t="shared" ref="T40:T51" si="7">-N40</f>
        <v>0</v>
      </c>
      <c r="Y40" s="106">
        <f t="shared" si="6"/>
        <v>0</v>
      </c>
    </row>
    <row r="41" spans="1:25" s="143" customFormat="1" x14ac:dyDescent="0.25">
      <c r="A41" s="142"/>
      <c r="B41" s="98"/>
      <c r="D41" s="132"/>
      <c r="E41" s="141"/>
      <c r="F41" s="106"/>
      <c r="J41" s="116"/>
      <c r="M41" s="141">
        <f>F41</f>
        <v>0</v>
      </c>
      <c r="N41" s="106">
        <f t="shared" si="3"/>
        <v>0</v>
      </c>
      <c r="O41" s="116"/>
      <c r="P41" s="105">
        <f t="shared" si="4"/>
        <v>0</v>
      </c>
      <c r="Q41" s="99"/>
      <c r="S41" s="105">
        <f t="shared" si="1"/>
        <v>0</v>
      </c>
      <c r="T41" s="141">
        <f t="shared" si="7"/>
        <v>0</v>
      </c>
      <c r="Y41" s="116">
        <f t="shared" si="6"/>
        <v>0</v>
      </c>
    </row>
    <row r="42" spans="1:25" s="143" customFormat="1" x14ac:dyDescent="0.25">
      <c r="A42" s="142" t="s">
        <v>57</v>
      </c>
      <c r="B42" s="98"/>
      <c r="C42" s="128" t="s">
        <v>90</v>
      </c>
      <c r="D42" s="144"/>
      <c r="E42" s="141"/>
      <c r="F42" s="106"/>
      <c r="J42" s="116"/>
      <c r="M42" s="116"/>
      <c r="N42" s="106">
        <f t="shared" si="3"/>
        <v>0</v>
      </c>
      <c r="O42" s="116"/>
      <c r="P42" s="105">
        <f t="shared" si="4"/>
        <v>0</v>
      </c>
      <c r="Q42" s="99"/>
      <c r="S42" s="105">
        <f t="shared" si="1"/>
        <v>0</v>
      </c>
      <c r="T42" s="141">
        <f t="shared" si="7"/>
        <v>0</v>
      </c>
      <c r="Y42" s="116">
        <f t="shared" si="6"/>
        <v>0</v>
      </c>
    </row>
    <row r="43" spans="1:25" s="143" customFormat="1" ht="15.75" x14ac:dyDescent="0.25">
      <c r="A43" s="142"/>
      <c r="B43" s="98"/>
      <c r="C43" s="151" t="s">
        <v>91</v>
      </c>
      <c r="D43" s="152"/>
      <c r="E43" s="141"/>
      <c r="F43" s="106"/>
      <c r="M43" s="116"/>
      <c r="N43" s="106">
        <f t="shared" si="3"/>
        <v>0</v>
      </c>
      <c r="O43" s="116"/>
      <c r="P43" s="105">
        <f t="shared" si="4"/>
        <v>0</v>
      </c>
      <c r="Q43" s="99"/>
      <c r="S43" s="105">
        <f t="shared" si="1"/>
        <v>0</v>
      </c>
      <c r="T43" s="141">
        <f t="shared" si="7"/>
        <v>0</v>
      </c>
      <c r="Y43" s="116">
        <f t="shared" si="6"/>
        <v>0</v>
      </c>
    </row>
    <row r="44" spans="1:25" s="143" customFormat="1" x14ac:dyDescent="0.25">
      <c r="A44" s="142"/>
      <c r="B44" s="98"/>
      <c r="C44" s="153" t="s">
        <v>92</v>
      </c>
      <c r="D44" s="152"/>
      <c r="E44" s="141"/>
      <c r="F44" s="106"/>
      <c r="M44" s="116"/>
      <c r="N44" s="106">
        <f t="shared" si="3"/>
        <v>0</v>
      </c>
      <c r="O44" s="116"/>
      <c r="P44" s="105">
        <f t="shared" si="4"/>
        <v>0</v>
      </c>
      <c r="Q44" s="99"/>
      <c r="S44" s="105">
        <f t="shared" si="1"/>
        <v>0</v>
      </c>
      <c r="T44" s="141">
        <f t="shared" si="7"/>
        <v>0</v>
      </c>
      <c r="Y44" s="116">
        <f t="shared" si="6"/>
        <v>0</v>
      </c>
    </row>
    <row r="45" spans="1:25" x14ac:dyDescent="0.25">
      <c r="A45" s="97" t="s">
        <v>93</v>
      </c>
      <c r="B45" s="98" t="s">
        <v>6</v>
      </c>
      <c r="C45" s="154" t="s">
        <v>94</v>
      </c>
      <c r="D45" s="132">
        <v>18231168.260000002</v>
      </c>
      <c r="E45" s="106"/>
      <c r="F45" s="106"/>
      <c r="H45" s="99" t="s">
        <v>70</v>
      </c>
      <c r="I45" s="99" t="str">
        <f t="shared" ref="I45:I50" si="8">+C45</f>
        <v>Sueldos fijos</v>
      </c>
      <c r="J45" s="105">
        <f>D45</f>
        <v>18231168.260000002</v>
      </c>
      <c r="M45" s="105">
        <f>F45</f>
        <v>0</v>
      </c>
      <c r="N45" s="106">
        <f t="shared" si="3"/>
        <v>18231168.260000002</v>
      </c>
      <c r="O45" s="105">
        <f t="shared" ref="O45:O108" si="9">-N45</f>
        <v>-18231168.260000002</v>
      </c>
      <c r="P45" s="105">
        <f t="shared" si="4"/>
        <v>-18231168.260000002</v>
      </c>
      <c r="S45" s="105">
        <f t="shared" si="1"/>
        <v>-18231168.260000002</v>
      </c>
      <c r="T45" s="141">
        <f t="shared" si="7"/>
        <v>-18231168.260000002</v>
      </c>
      <c r="U45" s="105">
        <f>N45</f>
        <v>18231168.260000002</v>
      </c>
      <c r="V45" s="105"/>
      <c r="Y45" s="105">
        <f t="shared" si="6"/>
        <v>18231168.260000002</v>
      </c>
    </row>
    <row r="46" spans="1:25" x14ac:dyDescent="0.25">
      <c r="A46" s="97" t="s">
        <v>93</v>
      </c>
      <c r="B46" s="98" t="s">
        <v>7</v>
      </c>
      <c r="C46" s="154" t="s">
        <v>95</v>
      </c>
      <c r="D46" s="132"/>
      <c r="E46" s="106"/>
      <c r="F46" s="106"/>
      <c r="H46" s="99" t="s">
        <v>70</v>
      </c>
      <c r="I46" s="99" t="str">
        <f t="shared" si="8"/>
        <v>Sueldos al personal contratado y/o igualado</v>
      </c>
      <c r="J46" s="105">
        <f>+D46</f>
        <v>0</v>
      </c>
      <c r="M46" s="105">
        <f t="shared" ref="M46:M109" si="10">F46</f>
        <v>0</v>
      </c>
      <c r="N46" s="106">
        <f t="shared" si="3"/>
        <v>0</v>
      </c>
      <c r="O46" s="105">
        <f t="shared" si="9"/>
        <v>0</v>
      </c>
      <c r="P46" s="105">
        <f t="shared" si="4"/>
        <v>0</v>
      </c>
      <c r="S46" s="105">
        <f t="shared" si="1"/>
        <v>0</v>
      </c>
      <c r="T46" s="141">
        <f t="shared" si="7"/>
        <v>0</v>
      </c>
      <c r="U46" s="105">
        <f t="shared" ref="U46:U61" si="11">+O46</f>
        <v>0</v>
      </c>
      <c r="V46" s="105"/>
      <c r="Y46" s="105">
        <f t="shared" si="6"/>
        <v>0</v>
      </c>
    </row>
    <row r="47" spans="1:25" x14ac:dyDescent="0.25">
      <c r="A47" s="97" t="s">
        <v>93</v>
      </c>
      <c r="B47" s="98" t="s">
        <v>8</v>
      </c>
      <c r="C47" s="154" t="s">
        <v>96</v>
      </c>
      <c r="D47" s="132"/>
      <c r="E47" s="106"/>
      <c r="F47" s="106"/>
      <c r="H47" s="99" t="s">
        <v>70</v>
      </c>
      <c r="I47" s="99" t="str">
        <f t="shared" si="8"/>
        <v>Sueldo al personal nominal en periodo probatorio</v>
      </c>
      <c r="J47" s="105">
        <f>+D47</f>
        <v>0</v>
      </c>
      <c r="M47" s="105">
        <f t="shared" si="10"/>
        <v>0</v>
      </c>
      <c r="N47" s="106">
        <f t="shared" si="3"/>
        <v>0</v>
      </c>
      <c r="O47" s="105">
        <f t="shared" si="9"/>
        <v>0</v>
      </c>
      <c r="P47" s="105">
        <f t="shared" si="4"/>
        <v>0</v>
      </c>
      <c r="S47" s="105">
        <f t="shared" si="1"/>
        <v>0</v>
      </c>
      <c r="T47" s="141">
        <f t="shared" si="7"/>
        <v>0</v>
      </c>
      <c r="U47" s="105">
        <f t="shared" si="11"/>
        <v>0</v>
      </c>
      <c r="V47" s="105"/>
      <c r="Y47" s="105">
        <f t="shared" si="6"/>
        <v>0</v>
      </c>
    </row>
    <row r="48" spans="1:25" x14ac:dyDescent="0.25">
      <c r="A48" s="97" t="s">
        <v>93</v>
      </c>
      <c r="B48" s="98" t="s">
        <v>9</v>
      </c>
      <c r="C48" s="154" t="s">
        <v>97</v>
      </c>
      <c r="D48" s="132"/>
      <c r="E48" s="106"/>
      <c r="F48" s="106"/>
      <c r="H48" s="99" t="s">
        <v>70</v>
      </c>
      <c r="I48" s="99" t="str">
        <f t="shared" si="8"/>
        <v>Sueldo anual no. 13</v>
      </c>
      <c r="J48" s="105">
        <f>+D48</f>
        <v>0</v>
      </c>
      <c r="M48" s="105">
        <f t="shared" si="10"/>
        <v>0</v>
      </c>
      <c r="N48" s="106">
        <f t="shared" si="3"/>
        <v>0</v>
      </c>
      <c r="O48" s="105">
        <f t="shared" si="9"/>
        <v>0</v>
      </c>
      <c r="P48" s="105">
        <f t="shared" si="4"/>
        <v>0</v>
      </c>
      <c r="S48" s="105">
        <f t="shared" si="1"/>
        <v>0</v>
      </c>
      <c r="T48" s="141">
        <f t="shared" si="7"/>
        <v>0</v>
      </c>
      <c r="U48" s="105">
        <f t="shared" si="11"/>
        <v>0</v>
      </c>
      <c r="V48" s="105"/>
      <c r="Y48" s="105">
        <f t="shared" si="6"/>
        <v>0</v>
      </c>
    </row>
    <row r="49" spans="1:25" x14ac:dyDescent="0.25">
      <c r="A49" s="97" t="s">
        <v>93</v>
      </c>
      <c r="B49" s="155" t="s">
        <v>98</v>
      </c>
      <c r="C49" s="99" t="s">
        <v>99</v>
      </c>
      <c r="D49" s="132"/>
      <c r="E49" s="106"/>
      <c r="F49" s="106"/>
      <c r="I49" s="99" t="str">
        <f t="shared" si="8"/>
        <v>Prestaciones económicas</v>
      </c>
      <c r="J49" s="105">
        <f>+D49</f>
        <v>0</v>
      </c>
      <c r="M49" s="105">
        <f t="shared" si="10"/>
        <v>0</v>
      </c>
      <c r="N49" s="106">
        <f t="shared" si="3"/>
        <v>0</v>
      </c>
      <c r="O49" s="105">
        <f t="shared" si="9"/>
        <v>0</v>
      </c>
      <c r="P49" s="105">
        <f t="shared" si="4"/>
        <v>0</v>
      </c>
      <c r="S49" s="105">
        <f t="shared" si="1"/>
        <v>0</v>
      </c>
      <c r="T49" s="141">
        <f t="shared" si="7"/>
        <v>0</v>
      </c>
      <c r="U49" s="105">
        <f t="shared" si="11"/>
        <v>0</v>
      </c>
      <c r="V49" s="105"/>
      <c r="Y49" s="105">
        <f t="shared" si="6"/>
        <v>0</v>
      </c>
    </row>
    <row r="50" spans="1:25" x14ac:dyDescent="0.25">
      <c r="A50" s="97" t="s">
        <v>93</v>
      </c>
      <c r="B50" s="98" t="s">
        <v>10</v>
      </c>
      <c r="C50" s="154" t="s">
        <v>100</v>
      </c>
      <c r="D50" s="132"/>
      <c r="E50" s="106"/>
      <c r="F50" s="106"/>
      <c r="H50" s="99" t="s">
        <v>70</v>
      </c>
      <c r="I50" s="99" t="str">
        <f t="shared" si="8"/>
        <v>Proporción de vacaciones no disfrutadas</v>
      </c>
      <c r="J50" s="105">
        <f>+D50</f>
        <v>0</v>
      </c>
      <c r="M50" s="105">
        <f t="shared" si="10"/>
        <v>0</v>
      </c>
      <c r="N50" s="106">
        <f t="shared" si="3"/>
        <v>0</v>
      </c>
      <c r="O50" s="105">
        <f t="shared" si="9"/>
        <v>0</v>
      </c>
      <c r="P50" s="105">
        <f t="shared" si="4"/>
        <v>0</v>
      </c>
      <c r="S50" s="105">
        <f t="shared" si="1"/>
        <v>0</v>
      </c>
      <c r="T50" s="141">
        <f t="shared" si="7"/>
        <v>0</v>
      </c>
      <c r="U50" s="105">
        <f t="shared" si="11"/>
        <v>0</v>
      </c>
      <c r="V50" s="105"/>
      <c r="Y50" s="105">
        <f t="shared" si="6"/>
        <v>0</v>
      </c>
    </row>
    <row r="51" spans="1:25" s="143" customFormat="1" x14ac:dyDescent="0.25">
      <c r="A51" s="142"/>
      <c r="B51" s="98"/>
      <c r="C51" s="153" t="s">
        <v>101</v>
      </c>
      <c r="D51" s="144"/>
      <c r="E51" s="141"/>
      <c r="F51" s="106"/>
      <c r="J51" s="116"/>
      <c r="M51" s="105">
        <f t="shared" si="10"/>
        <v>0</v>
      </c>
      <c r="N51" s="106">
        <f t="shared" si="3"/>
        <v>0</v>
      </c>
      <c r="O51" s="116">
        <f t="shared" si="9"/>
        <v>0</v>
      </c>
      <c r="P51" s="105">
        <f t="shared" si="4"/>
        <v>0</v>
      </c>
      <c r="Q51" s="99"/>
      <c r="S51" s="105">
        <f t="shared" si="1"/>
        <v>0</v>
      </c>
      <c r="T51" s="141">
        <f t="shared" si="7"/>
        <v>0</v>
      </c>
      <c r="Y51" s="116">
        <f t="shared" si="6"/>
        <v>0</v>
      </c>
    </row>
    <row r="52" spans="1:25" x14ac:dyDescent="0.25">
      <c r="A52" s="97" t="s">
        <v>93</v>
      </c>
      <c r="B52" s="98" t="s">
        <v>12</v>
      </c>
      <c r="C52" s="154" t="s">
        <v>102</v>
      </c>
      <c r="D52" s="132"/>
      <c r="E52" s="106"/>
      <c r="F52" s="106"/>
      <c r="H52" s="99" t="s">
        <v>70</v>
      </c>
      <c r="I52" s="99" t="str">
        <f t="shared" ref="I52:J54" si="12">+C52</f>
        <v>Compensación por horas extraordinarias</v>
      </c>
      <c r="J52" s="105">
        <f t="shared" si="12"/>
        <v>0</v>
      </c>
      <c r="M52" s="105">
        <f t="shared" si="10"/>
        <v>0</v>
      </c>
      <c r="N52" s="106">
        <f t="shared" si="3"/>
        <v>0</v>
      </c>
      <c r="O52" s="105">
        <f t="shared" si="9"/>
        <v>0</v>
      </c>
      <c r="P52" s="105">
        <f t="shared" si="4"/>
        <v>0</v>
      </c>
      <c r="S52" s="105">
        <f>SUM(N52:R52)</f>
        <v>0</v>
      </c>
      <c r="U52" s="105">
        <f t="shared" si="11"/>
        <v>0</v>
      </c>
      <c r="V52" s="105"/>
      <c r="Y52" s="105">
        <f t="shared" si="6"/>
        <v>0</v>
      </c>
    </row>
    <row r="53" spans="1:25" x14ac:dyDescent="0.25">
      <c r="A53" s="97" t="s">
        <v>93</v>
      </c>
      <c r="B53" s="98" t="s">
        <v>13</v>
      </c>
      <c r="C53" s="154" t="s">
        <v>103</v>
      </c>
      <c r="D53" s="132"/>
      <c r="E53" s="106"/>
      <c r="F53" s="106"/>
      <c r="H53" s="99" t="s">
        <v>70</v>
      </c>
      <c r="I53" s="99" t="str">
        <f t="shared" si="12"/>
        <v>Compensación por servicio de seguridad</v>
      </c>
      <c r="J53" s="105">
        <f t="shared" si="12"/>
        <v>0</v>
      </c>
      <c r="M53" s="105">
        <f t="shared" si="10"/>
        <v>0</v>
      </c>
      <c r="N53" s="106">
        <f t="shared" si="3"/>
        <v>0</v>
      </c>
      <c r="O53" s="105">
        <f t="shared" si="9"/>
        <v>0</v>
      </c>
      <c r="P53" s="105">
        <f t="shared" si="4"/>
        <v>0</v>
      </c>
      <c r="S53" s="105">
        <f t="shared" si="1"/>
        <v>0</v>
      </c>
      <c r="U53" s="105">
        <f t="shared" si="11"/>
        <v>0</v>
      </c>
      <c r="V53" s="105"/>
      <c r="Y53" s="105">
        <f t="shared" si="6"/>
        <v>0</v>
      </c>
    </row>
    <row r="54" spans="1:25" x14ac:dyDescent="0.25">
      <c r="A54" s="97" t="s">
        <v>93</v>
      </c>
      <c r="B54" s="98" t="s">
        <v>14</v>
      </c>
      <c r="C54" s="154" t="s">
        <v>104</v>
      </c>
      <c r="D54" s="132"/>
      <c r="E54" s="106"/>
      <c r="F54" s="106"/>
      <c r="H54" s="99" t="s">
        <v>70</v>
      </c>
      <c r="I54" s="99" t="str">
        <f t="shared" si="12"/>
        <v>Bono por desempeño</v>
      </c>
      <c r="J54" s="105">
        <f t="shared" si="12"/>
        <v>0</v>
      </c>
      <c r="M54" s="105">
        <f t="shared" si="10"/>
        <v>0</v>
      </c>
      <c r="N54" s="106">
        <f t="shared" si="3"/>
        <v>0</v>
      </c>
      <c r="O54" s="105">
        <f t="shared" si="9"/>
        <v>0</v>
      </c>
      <c r="P54" s="105">
        <f t="shared" si="4"/>
        <v>0</v>
      </c>
      <c r="S54" s="105">
        <f t="shared" si="1"/>
        <v>0</v>
      </c>
      <c r="U54" s="105">
        <f t="shared" si="11"/>
        <v>0</v>
      </c>
      <c r="V54" s="105"/>
      <c r="Y54" s="105">
        <f t="shared" si="6"/>
        <v>0</v>
      </c>
    </row>
    <row r="55" spans="1:25" s="143" customFormat="1" x14ac:dyDescent="0.25">
      <c r="A55" s="142"/>
      <c r="B55" s="98"/>
      <c r="C55" s="153" t="s">
        <v>105</v>
      </c>
      <c r="D55" s="144"/>
      <c r="E55" s="141"/>
      <c r="F55" s="106"/>
      <c r="J55" s="116"/>
      <c r="M55" s="105">
        <f t="shared" si="10"/>
        <v>0</v>
      </c>
      <c r="N55" s="106">
        <f t="shared" si="3"/>
        <v>0</v>
      </c>
      <c r="O55" s="116">
        <f t="shared" si="9"/>
        <v>0</v>
      </c>
      <c r="P55" s="105">
        <f t="shared" si="4"/>
        <v>0</v>
      </c>
      <c r="Q55" s="99"/>
      <c r="S55" s="105">
        <f t="shared" si="1"/>
        <v>0</v>
      </c>
      <c r="Y55" s="116">
        <f t="shared" si="6"/>
        <v>0</v>
      </c>
    </row>
    <row r="56" spans="1:25" x14ac:dyDescent="0.25">
      <c r="A56" s="97" t="s">
        <v>93</v>
      </c>
      <c r="B56" s="98" t="s">
        <v>15</v>
      </c>
      <c r="C56" s="154" t="s">
        <v>106</v>
      </c>
      <c r="D56" s="132"/>
      <c r="E56" s="106"/>
      <c r="F56" s="106"/>
      <c r="H56" s="99" t="s">
        <v>70</v>
      </c>
      <c r="I56" s="99" t="str">
        <f>+C56</f>
        <v>Gratificaciones por aniversario de institución</v>
      </c>
      <c r="J56" s="105">
        <f>+D56</f>
        <v>0</v>
      </c>
      <c r="M56" s="105">
        <f t="shared" si="10"/>
        <v>0</v>
      </c>
      <c r="N56" s="106">
        <f t="shared" si="3"/>
        <v>0</v>
      </c>
      <c r="O56" s="105">
        <f t="shared" si="9"/>
        <v>0</v>
      </c>
      <c r="P56" s="105">
        <f t="shared" si="4"/>
        <v>0</v>
      </c>
      <c r="S56" s="105">
        <f t="shared" si="1"/>
        <v>0</v>
      </c>
      <c r="U56" s="105">
        <f t="shared" si="11"/>
        <v>0</v>
      </c>
      <c r="V56" s="105"/>
      <c r="Y56" s="105">
        <f t="shared" si="6"/>
        <v>0</v>
      </c>
    </row>
    <row r="57" spans="1:25" s="143" customFormat="1" x14ac:dyDescent="0.25">
      <c r="A57" s="142"/>
      <c r="B57" s="98"/>
      <c r="C57" s="153" t="s">
        <v>107</v>
      </c>
      <c r="D57" s="144"/>
      <c r="E57" s="141"/>
      <c r="F57" s="106"/>
      <c r="J57" s="116"/>
      <c r="M57" s="105">
        <f t="shared" si="10"/>
        <v>0</v>
      </c>
      <c r="N57" s="106">
        <f t="shared" si="3"/>
        <v>0</v>
      </c>
      <c r="O57" s="116">
        <f t="shared" si="9"/>
        <v>0</v>
      </c>
      <c r="P57" s="105">
        <f t="shared" si="4"/>
        <v>0</v>
      </c>
      <c r="Q57" s="99"/>
      <c r="S57" s="105">
        <f t="shared" si="1"/>
        <v>0</v>
      </c>
      <c r="U57" s="105">
        <f t="shared" si="11"/>
        <v>0</v>
      </c>
      <c r="Y57" s="116">
        <f t="shared" si="6"/>
        <v>0</v>
      </c>
    </row>
    <row r="58" spans="1:25" x14ac:dyDescent="0.25">
      <c r="A58" s="97" t="s">
        <v>93</v>
      </c>
      <c r="B58" s="98" t="s">
        <v>16</v>
      </c>
      <c r="C58" s="154" t="s">
        <v>108</v>
      </c>
      <c r="D58" s="156">
        <v>1263505.17</v>
      </c>
      <c r="E58" s="106"/>
      <c r="F58" s="106"/>
      <c r="H58" s="99" t="s">
        <v>70</v>
      </c>
      <c r="I58" s="99" t="str">
        <f t="shared" ref="I58:J60" si="13">+C58</f>
        <v>Contribuciones al seguro de salud</v>
      </c>
      <c r="J58" s="105">
        <f t="shared" si="13"/>
        <v>1263505.17</v>
      </c>
      <c r="M58" s="105">
        <f t="shared" si="10"/>
        <v>0</v>
      </c>
      <c r="N58" s="106">
        <f t="shared" si="3"/>
        <v>1263505.17</v>
      </c>
      <c r="O58" s="105">
        <f t="shared" si="9"/>
        <v>-1263505.17</v>
      </c>
      <c r="P58" s="105">
        <f t="shared" si="4"/>
        <v>-1263505.17</v>
      </c>
      <c r="S58" s="105">
        <f t="shared" si="1"/>
        <v>-1263505.17</v>
      </c>
      <c r="U58" s="105"/>
      <c r="V58" s="105">
        <f>N58</f>
        <v>1263505.17</v>
      </c>
      <c r="Y58" s="105">
        <f t="shared" si="6"/>
        <v>2527010.34</v>
      </c>
    </row>
    <row r="59" spans="1:25" x14ac:dyDescent="0.25">
      <c r="A59" s="97" t="s">
        <v>93</v>
      </c>
      <c r="C59" s="154" t="s">
        <v>109</v>
      </c>
      <c r="D59" s="132"/>
      <c r="E59" s="106"/>
      <c r="F59" s="106"/>
      <c r="H59" s="99" t="s">
        <v>70</v>
      </c>
      <c r="I59" s="99" t="str">
        <f t="shared" si="13"/>
        <v xml:space="preserve">Contribuciones al seguro de pensiones </v>
      </c>
      <c r="J59" s="105">
        <f t="shared" si="13"/>
        <v>0</v>
      </c>
      <c r="M59" s="105">
        <f t="shared" si="10"/>
        <v>0</v>
      </c>
      <c r="N59" s="106">
        <f t="shared" si="3"/>
        <v>0</v>
      </c>
      <c r="O59" s="105">
        <f t="shared" si="9"/>
        <v>0</v>
      </c>
      <c r="P59" s="105">
        <f t="shared" si="4"/>
        <v>0</v>
      </c>
      <c r="S59" s="105">
        <f t="shared" si="1"/>
        <v>0</v>
      </c>
      <c r="U59" s="105">
        <f t="shared" si="11"/>
        <v>0</v>
      </c>
      <c r="V59" s="105">
        <f>+O59</f>
        <v>0</v>
      </c>
      <c r="Y59" s="105">
        <f t="shared" si="6"/>
        <v>0</v>
      </c>
    </row>
    <row r="60" spans="1:25" x14ac:dyDescent="0.25">
      <c r="A60" s="97" t="s">
        <v>93</v>
      </c>
      <c r="C60" s="154" t="s">
        <v>110</v>
      </c>
      <c r="D60" s="132"/>
      <c r="E60" s="106"/>
      <c r="F60" s="106"/>
      <c r="H60" s="99" t="s">
        <v>70</v>
      </c>
      <c r="I60" s="99" t="str">
        <f t="shared" si="13"/>
        <v>Contribuciones al seguro de riesgo laboral</v>
      </c>
      <c r="J60" s="105">
        <f t="shared" si="13"/>
        <v>0</v>
      </c>
      <c r="M60" s="105">
        <f t="shared" si="10"/>
        <v>0</v>
      </c>
      <c r="N60" s="106">
        <f t="shared" si="3"/>
        <v>0</v>
      </c>
      <c r="O60" s="105">
        <f t="shared" si="9"/>
        <v>0</v>
      </c>
      <c r="P60" s="105">
        <f t="shared" si="4"/>
        <v>0</v>
      </c>
      <c r="S60" s="105">
        <f>SUM(N60:R60)</f>
        <v>0</v>
      </c>
      <c r="U60" s="105">
        <f t="shared" si="11"/>
        <v>0</v>
      </c>
      <c r="V60" s="105">
        <f>+O60</f>
        <v>0</v>
      </c>
      <c r="Y60" s="105">
        <f t="shared" si="6"/>
        <v>0</v>
      </c>
    </row>
    <row r="61" spans="1:25" s="143" customFormat="1" ht="15.75" x14ac:dyDescent="0.25">
      <c r="A61" s="142"/>
      <c r="B61" s="98"/>
      <c r="C61" s="151" t="s">
        <v>111</v>
      </c>
      <c r="D61" s="144"/>
      <c r="E61" s="141"/>
      <c r="F61" s="106"/>
      <c r="J61" s="116"/>
      <c r="M61" s="105">
        <f t="shared" si="10"/>
        <v>0</v>
      </c>
      <c r="N61" s="106">
        <f t="shared" si="3"/>
        <v>0</v>
      </c>
      <c r="O61" s="116">
        <f t="shared" si="9"/>
        <v>0</v>
      </c>
      <c r="P61" s="105">
        <f t="shared" si="4"/>
        <v>0</v>
      </c>
      <c r="Q61" s="99"/>
      <c r="S61" s="105">
        <f t="shared" si="1"/>
        <v>0</v>
      </c>
      <c r="U61" s="105">
        <f t="shared" si="11"/>
        <v>0</v>
      </c>
      <c r="Y61" s="116">
        <f t="shared" ref="Y61:Y124" si="14">SUM(T61:X61)-O61</f>
        <v>0</v>
      </c>
    </row>
    <row r="62" spans="1:25" s="143" customFormat="1" x14ac:dyDescent="0.25">
      <c r="A62" s="142"/>
      <c r="B62" s="98"/>
      <c r="C62" s="153" t="s">
        <v>112</v>
      </c>
      <c r="D62" s="144"/>
      <c r="E62" s="141"/>
      <c r="F62" s="106"/>
      <c r="J62" s="116"/>
      <c r="M62" s="105">
        <f t="shared" si="10"/>
        <v>0</v>
      </c>
      <c r="N62" s="106">
        <f t="shared" si="3"/>
        <v>0</v>
      </c>
      <c r="O62" s="116">
        <f t="shared" si="9"/>
        <v>0</v>
      </c>
      <c r="P62" s="105">
        <f t="shared" si="4"/>
        <v>0</v>
      </c>
      <c r="Q62" s="99"/>
      <c r="S62" s="105">
        <f t="shared" si="1"/>
        <v>0</v>
      </c>
      <c r="Y62" s="116">
        <f t="shared" si="14"/>
        <v>0</v>
      </c>
    </row>
    <row r="63" spans="1:25" x14ac:dyDescent="0.25">
      <c r="A63" s="97" t="s">
        <v>113</v>
      </c>
      <c r="C63" s="154" t="s">
        <v>114</v>
      </c>
      <c r="D63" s="132"/>
      <c r="E63" s="106"/>
      <c r="F63" s="106"/>
      <c r="H63" s="99" t="s">
        <v>70</v>
      </c>
      <c r="I63" s="99" t="str">
        <f t="shared" ref="I63:J67" si="15">+C63</f>
        <v>Servicios telefónico de larga distancia</v>
      </c>
      <c r="J63" s="105">
        <f t="shared" si="15"/>
        <v>0</v>
      </c>
      <c r="M63" s="105">
        <f t="shared" si="10"/>
        <v>0</v>
      </c>
      <c r="N63" s="106">
        <f t="shared" si="3"/>
        <v>0</v>
      </c>
      <c r="O63" s="105">
        <f t="shared" si="9"/>
        <v>0</v>
      </c>
      <c r="P63" s="105">
        <f t="shared" si="4"/>
        <v>0</v>
      </c>
      <c r="S63" s="105">
        <f t="shared" si="1"/>
        <v>0</v>
      </c>
      <c r="W63" s="105">
        <f>+O63</f>
        <v>0</v>
      </c>
      <c r="Y63" s="105">
        <f t="shared" si="14"/>
        <v>0</v>
      </c>
    </row>
    <row r="64" spans="1:25" x14ac:dyDescent="0.25">
      <c r="A64" s="97" t="s">
        <v>113</v>
      </c>
      <c r="C64" s="154" t="s">
        <v>115</v>
      </c>
      <c r="D64" s="132"/>
      <c r="E64" s="106"/>
      <c r="F64" s="106"/>
      <c r="H64" s="99" t="s">
        <v>70</v>
      </c>
      <c r="I64" s="99" t="str">
        <f t="shared" si="15"/>
        <v>Teléfono local</v>
      </c>
      <c r="J64" s="105">
        <f t="shared" si="15"/>
        <v>0</v>
      </c>
      <c r="M64" s="105">
        <f t="shared" si="10"/>
        <v>0</v>
      </c>
      <c r="N64" s="106">
        <f t="shared" si="3"/>
        <v>0</v>
      </c>
      <c r="O64" s="105">
        <f t="shared" si="9"/>
        <v>0</v>
      </c>
      <c r="P64" s="105">
        <f t="shared" si="4"/>
        <v>0</v>
      </c>
      <c r="S64" s="105">
        <f t="shared" si="1"/>
        <v>0</v>
      </c>
      <c r="W64" s="105">
        <f>+O64</f>
        <v>0</v>
      </c>
      <c r="Y64" s="105">
        <f t="shared" si="14"/>
        <v>0</v>
      </c>
    </row>
    <row r="65" spans="1:25" x14ac:dyDescent="0.25">
      <c r="A65" s="97" t="s">
        <v>113</v>
      </c>
      <c r="C65" s="154" t="s">
        <v>116</v>
      </c>
      <c r="D65" s="132"/>
      <c r="E65" s="106"/>
      <c r="F65" s="106"/>
      <c r="H65" s="99" t="s">
        <v>70</v>
      </c>
      <c r="I65" s="99" t="str">
        <f t="shared" si="15"/>
        <v>Telefax y correo</v>
      </c>
      <c r="J65" s="105">
        <f t="shared" si="15"/>
        <v>0</v>
      </c>
      <c r="M65" s="105">
        <f t="shared" si="10"/>
        <v>0</v>
      </c>
      <c r="N65" s="106">
        <f t="shared" si="3"/>
        <v>0</v>
      </c>
      <c r="O65" s="105">
        <f t="shared" si="9"/>
        <v>0</v>
      </c>
      <c r="P65" s="105">
        <f t="shared" si="4"/>
        <v>0</v>
      </c>
      <c r="S65" s="105">
        <f t="shared" si="1"/>
        <v>0</v>
      </c>
      <c r="W65" s="105">
        <f>+O65</f>
        <v>0</v>
      </c>
      <c r="Y65" s="105">
        <f t="shared" si="14"/>
        <v>0</v>
      </c>
    </row>
    <row r="66" spans="1:25" x14ac:dyDescent="0.25">
      <c r="A66" s="97" t="s">
        <v>113</v>
      </c>
      <c r="C66" s="154" t="s">
        <v>117</v>
      </c>
      <c r="D66" s="132"/>
      <c r="E66" s="106"/>
      <c r="F66" s="106"/>
      <c r="H66" s="99" t="s">
        <v>70</v>
      </c>
      <c r="I66" s="99" t="str">
        <f t="shared" si="15"/>
        <v>Servicio de internet y televisión por cable</v>
      </c>
      <c r="J66" s="105">
        <f t="shared" si="15"/>
        <v>0</v>
      </c>
      <c r="M66" s="105">
        <f t="shared" si="10"/>
        <v>0</v>
      </c>
      <c r="N66" s="106">
        <f t="shared" si="3"/>
        <v>0</v>
      </c>
      <c r="O66" s="105">
        <f t="shared" si="9"/>
        <v>0</v>
      </c>
      <c r="P66" s="105">
        <f t="shared" si="4"/>
        <v>0</v>
      </c>
      <c r="S66" s="105">
        <f t="shared" si="1"/>
        <v>0</v>
      </c>
      <c r="W66" s="105">
        <f>+O66</f>
        <v>0</v>
      </c>
      <c r="Y66" s="105">
        <f t="shared" si="14"/>
        <v>0</v>
      </c>
    </row>
    <row r="67" spans="1:25" x14ac:dyDescent="0.25">
      <c r="A67" s="97" t="s">
        <v>113</v>
      </c>
      <c r="C67" s="154" t="s">
        <v>118</v>
      </c>
      <c r="D67" s="132"/>
      <c r="E67" s="106"/>
      <c r="F67" s="106"/>
      <c r="H67" s="99" t="s">
        <v>70</v>
      </c>
      <c r="I67" s="99" t="str">
        <f t="shared" si="15"/>
        <v>Energía eléctrica</v>
      </c>
      <c r="J67" s="105">
        <f t="shared" si="15"/>
        <v>0</v>
      </c>
      <c r="M67" s="105">
        <f t="shared" si="10"/>
        <v>0</v>
      </c>
      <c r="N67" s="106">
        <f t="shared" si="3"/>
        <v>0</v>
      </c>
      <c r="O67" s="105">
        <f t="shared" si="9"/>
        <v>0</v>
      </c>
      <c r="P67" s="105">
        <f t="shared" si="4"/>
        <v>0</v>
      </c>
      <c r="S67" s="105">
        <f t="shared" si="1"/>
        <v>0</v>
      </c>
      <c r="W67" s="105">
        <f>+O67</f>
        <v>0</v>
      </c>
      <c r="Y67" s="105">
        <f t="shared" si="14"/>
        <v>0</v>
      </c>
    </row>
    <row r="68" spans="1:25" s="143" customFormat="1" x14ac:dyDescent="0.25">
      <c r="A68" s="142"/>
      <c r="B68" s="98"/>
      <c r="C68" s="153" t="s">
        <v>119</v>
      </c>
      <c r="D68" s="144"/>
      <c r="E68" s="141"/>
      <c r="F68" s="106"/>
      <c r="J68" s="116"/>
      <c r="M68" s="105">
        <f t="shared" si="10"/>
        <v>0</v>
      </c>
      <c r="N68" s="106">
        <f t="shared" si="3"/>
        <v>0</v>
      </c>
      <c r="O68" s="116">
        <f t="shared" si="9"/>
        <v>0</v>
      </c>
      <c r="P68" s="105">
        <f t="shared" si="4"/>
        <v>0</v>
      </c>
      <c r="Q68" s="99"/>
      <c r="S68" s="105">
        <f>SUM(N68:R68)</f>
        <v>0</v>
      </c>
      <c r="Y68" s="116">
        <f t="shared" si="14"/>
        <v>0</v>
      </c>
    </row>
    <row r="69" spans="1:25" x14ac:dyDescent="0.25">
      <c r="A69" s="97" t="s">
        <v>113</v>
      </c>
      <c r="C69" s="154" t="s">
        <v>120</v>
      </c>
      <c r="D69" s="132"/>
      <c r="E69" s="106"/>
      <c r="F69" s="106"/>
      <c r="H69" s="99" t="s">
        <v>70</v>
      </c>
      <c r="I69" s="99" t="str">
        <f>+C69</f>
        <v>Publicidad y propaganda</v>
      </c>
      <c r="J69" s="105">
        <f>+D69</f>
        <v>0</v>
      </c>
      <c r="M69" s="105">
        <f t="shared" si="10"/>
        <v>0</v>
      </c>
      <c r="N69" s="106">
        <f t="shared" si="3"/>
        <v>0</v>
      </c>
      <c r="O69" s="105">
        <f t="shared" si="9"/>
        <v>0</v>
      </c>
      <c r="P69" s="105">
        <f t="shared" si="4"/>
        <v>0</v>
      </c>
      <c r="S69" s="105">
        <f t="shared" si="1"/>
        <v>0</v>
      </c>
      <c r="W69" s="105">
        <f>+O69</f>
        <v>0</v>
      </c>
      <c r="Y69" s="105">
        <f t="shared" si="14"/>
        <v>0</v>
      </c>
    </row>
    <row r="70" spans="1:25" x14ac:dyDescent="0.25">
      <c r="A70" s="97" t="s">
        <v>113</v>
      </c>
      <c r="C70" s="154" t="s">
        <v>121</v>
      </c>
      <c r="D70" s="132"/>
      <c r="E70" s="106"/>
      <c r="F70" s="106"/>
      <c r="H70" s="99" t="s">
        <v>70</v>
      </c>
      <c r="I70" s="99" t="str">
        <f>+C70</f>
        <v>Impresión y encuadernación</v>
      </c>
      <c r="J70" s="105">
        <f>+D70</f>
        <v>0</v>
      </c>
      <c r="M70" s="105">
        <f t="shared" si="10"/>
        <v>0</v>
      </c>
      <c r="N70" s="106">
        <f t="shared" si="3"/>
        <v>0</v>
      </c>
      <c r="O70" s="105">
        <f t="shared" si="9"/>
        <v>0</v>
      </c>
      <c r="P70" s="105">
        <f t="shared" si="4"/>
        <v>0</v>
      </c>
      <c r="S70" s="105">
        <f t="shared" si="1"/>
        <v>0</v>
      </c>
      <c r="W70" s="105">
        <f>+O70</f>
        <v>0</v>
      </c>
      <c r="Y70" s="105">
        <f t="shared" si="14"/>
        <v>0</v>
      </c>
    </row>
    <row r="71" spans="1:25" s="143" customFormat="1" x14ac:dyDescent="0.25">
      <c r="A71" s="142"/>
      <c r="B71" s="98"/>
      <c r="C71" s="153" t="s">
        <v>122</v>
      </c>
      <c r="D71" s="144"/>
      <c r="E71" s="141"/>
      <c r="F71" s="106"/>
      <c r="J71" s="116"/>
      <c r="M71" s="105">
        <f t="shared" si="10"/>
        <v>0</v>
      </c>
      <c r="N71" s="106">
        <f t="shared" si="3"/>
        <v>0</v>
      </c>
      <c r="O71" s="116">
        <f t="shared" si="9"/>
        <v>0</v>
      </c>
      <c r="P71" s="105">
        <f t="shared" si="4"/>
        <v>0</v>
      </c>
      <c r="Q71" s="99"/>
      <c r="S71" s="105">
        <f t="shared" si="1"/>
        <v>0</v>
      </c>
      <c r="Y71" s="116">
        <f t="shared" si="14"/>
        <v>0</v>
      </c>
    </row>
    <row r="72" spans="1:25" x14ac:dyDescent="0.25">
      <c r="A72" s="97" t="s">
        <v>113</v>
      </c>
      <c r="C72" s="154" t="s">
        <v>123</v>
      </c>
      <c r="D72" s="132"/>
      <c r="E72" s="106"/>
      <c r="F72" s="106"/>
      <c r="H72" s="99" t="s">
        <v>70</v>
      </c>
      <c r="I72" s="99" t="str">
        <f>+C72</f>
        <v>Viáticos dentro del país</v>
      </c>
      <c r="J72" s="105">
        <f>+D72</f>
        <v>0</v>
      </c>
      <c r="M72" s="105">
        <f t="shared" si="10"/>
        <v>0</v>
      </c>
      <c r="N72" s="106">
        <f t="shared" si="3"/>
        <v>0</v>
      </c>
      <c r="O72" s="105">
        <f t="shared" si="9"/>
        <v>0</v>
      </c>
      <c r="P72" s="105">
        <f t="shared" si="4"/>
        <v>0</v>
      </c>
      <c r="S72" s="105">
        <f t="shared" si="1"/>
        <v>0</v>
      </c>
      <c r="W72" s="105">
        <f>+O72</f>
        <v>0</v>
      </c>
      <c r="Y72" s="105">
        <f t="shared" si="14"/>
        <v>0</v>
      </c>
    </row>
    <row r="73" spans="1:25" x14ac:dyDescent="0.25">
      <c r="A73" s="97" t="s">
        <v>113</v>
      </c>
      <c r="C73" s="154" t="s">
        <v>124</v>
      </c>
      <c r="D73" s="132"/>
      <c r="E73" s="106"/>
      <c r="F73" s="106"/>
      <c r="H73" s="99" t="s">
        <v>70</v>
      </c>
      <c r="I73" s="99" t="str">
        <f>+C73</f>
        <v>Viáticos fuera del país</v>
      </c>
      <c r="J73" s="105">
        <f>+D73</f>
        <v>0</v>
      </c>
      <c r="M73" s="105">
        <f t="shared" si="10"/>
        <v>0</v>
      </c>
      <c r="N73" s="106">
        <f t="shared" si="3"/>
        <v>0</v>
      </c>
      <c r="O73" s="105">
        <f t="shared" si="9"/>
        <v>0</v>
      </c>
      <c r="P73" s="105">
        <f t="shared" si="4"/>
        <v>0</v>
      </c>
      <c r="S73" s="105">
        <f t="shared" si="1"/>
        <v>0</v>
      </c>
      <c r="W73" s="105">
        <f>+O73</f>
        <v>0</v>
      </c>
      <c r="Y73" s="105">
        <f t="shared" si="14"/>
        <v>0</v>
      </c>
    </row>
    <row r="74" spans="1:25" s="143" customFormat="1" x14ac:dyDescent="0.25">
      <c r="A74" s="142"/>
      <c r="B74" s="98"/>
      <c r="C74" s="153" t="s">
        <v>125</v>
      </c>
      <c r="D74" s="144"/>
      <c r="E74" s="141"/>
      <c r="F74" s="106"/>
      <c r="J74" s="116"/>
      <c r="M74" s="105">
        <f t="shared" si="10"/>
        <v>0</v>
      </c>
      <c r="N74" s="106">
        <f t="shared" si="3"/>
        <v>0</v>
      </c>
      <c r="O74" s="116">
        <f t="shared" si="9"/>
        <v>0</v>
      </c>
      <c r="P74" s="105">
        <f t="shared" si="4"/>
        <v>0</v>
      </c>
      <c r="Q74" s="99"/>
      <c r="S74" s="105">
        <f t="shared" si="1"/>
        <v>0</v>
      </c>
      <c r="Y74" s="116">
        <f t="shared" si="14"/>
        <v>0</v>
      </c>
    </row>
    <row r="75" spans="1:25" x14ac:dyDescent="0.25">
      <c r="A75" s="97" t="s">
        <v>113</v>
      </c>
      <c r="C75" s="99" t="s">
        <v>126</v>
      </c>
      <c r="D75" s="132"/>
      <c r="E75" s="106"/>
      <c r="F75" s="106"/>
      <c r="H75" s="99" t="s">
        <v>70</v>
      </c>
      <c r="I75" s="99" t="str">
        <f>+C75</f>
        <v>Pasajes</v>
      </c>
      <c r="J75" s="105">
        <f>+D75</f>
        <v>0</v>
      </c>
      <c r="M75" s="105">
        <f t="shared" si="10"/>
        <v>0</v>
      </c>
      <c r="N75" s="106">
        <f t="shared" si="3"/>
        <v>0</v>
      </c>
      <c r="O75" s="105">
        <f t="shared" si="9"/>
        <v>0</v>
      </c>
      <c r="P75" s="105">
        <f t="shared" si="4"/>
        <v>0</v>
      </c>
      <c r="S75" s="105">
        <f t="shared" si="1"/>
        <v>0</v>
      </c>
      <c r="W75" s="105">
        <f>+O75</f>
        <v>0</v>
      </c>
      <c r="Y75" s="105">
        <f t="shared" si="14"/>
        <v>0</v>
      </c>
    </row>
    <row r="76" spans="1:25" x14ac:dyDescent="0.25">
      <c r="A76" s="97" t="s">
        <v>113</v>
      </c>
      <c r="C76" s="99" t="s">
        <v>127</v>
      </c>
      <c r="D76" s="132"/>
      <c r="E76" s="106"/>
      <c r="F76" s="106"/>
      <c r="H76" s="99" t="s">
        <v>70</v>
      </c>
      <c r="I76" s="99" t="str">
        <f>+C76</f>
        <v>Peajes</v>
      </c>
      <c r="J76" s="105">
        <f>+D76</f>
        <v>0</v>
      </c>
      <c r="M76" s="105">
        <f t="shared" si="10"/>
        <v>0</v>
      </c>
      <c r="N76" s="106">
        <f t="shared" si="3"/>
        <v>0</v>
      </c>
      <c r="O76" s="105">
        <f t="shared" si="9"/>
        <v>0</v>
      </c>
      <c r="P76" s="105">
        <f t="shared" si="4"/>
        <v>0</v>
      </c>
      <c r="S76" s="105">
        <f t="shared" ref="S76:S82" si="16">SUM(N76:R76)</f>
        <v>0</v>
      </c>
      <c r="W76" s="105">
        <f>+O76</f>
        <v>0</v>
      </c>
      <c r="Y76" s="105">
        <f t="shared" si="14"/>
        <v>0</v>
      </c>
    </row>
    <row r="77" spans="1:25" s="143" customFormat="1" x14ac:dyDescent="0.25">
      <c r="A77" s="142"/>
      <c r="B77" s="98"/>
      <c r="C77" s="153" t="s">
        <v>128</v>
      </c>
      <c r="D77" s="144"/>
      <c r="E77" s="141"/>
      <c r="F77" s="106"/>
      <c r="J77" s="116"/>
      <c r="M77" s="105">
        <f t="shared" si="10"/>
        <v>0</v>
      </c>
      <c r="N77" s="106">
        <f t="shared" si="3"/>
        <v>0</v>
      </c>
      <c r="O77" s="116">
        <f t="shared" si="9"/>
        <v>0</v>
      </c>
      <c r="P77" s="105">
        <f t="shared" si="4"/>
        <v>0</v>
      </c>
      <c r="Q77" s="99"/>
      <c r="S77" s="105">
        <f t="shared" si="16"/>
        <v>0</v>
      </c>
      <c r="Y77" s="116">
        <f t="shared" si="14"/>
        <v>0</v>
      </c>
    </row>
    <row r="78" spans="1:25" x14ac:dyDescent="0.25">
      <c r="A78" s="97" t="s">
        <v>113</v>
      </c>
      <c r="C78" s="154" t="s">
        <v>129</v>
      </c>
      <c r="D78" s="132"/>
      <c r="E78" s="106"/>
      <c r="F78" s="106"/>
      <c r="H78" s="99" t="s">
        <v>70</v>
      </c>
      <c r="I78" s="99" t="str">
        <f t="shared" ref="I78:J80" si="17">+C78</f>
        <v>Edificios y locales</v>
      </c>
      <c r="J78" s="105">
        <f t="shared" si="17"/>
        <v>0</v>
      </c>
      <c r="M78" s="105">
        <f t="shared" si="10"/>
        <v>0</v>
      </c>
      <c r="N78" s="106">
        <f t="shared" si="3"/>
        <v>0</v>
      </c>
      <c r="O78" s="105">
        <f t="shared" si="9"/>
        <v>0</v>
      </c>
      <c r="P78" s="105">
        <f t="shared" si="4"/>
        <v>0</v>
      </c>
      <c r="S78" s="105">
        <f t="shared" si="16"/>
        <v>0</v>
      </c>
      <c r="W78" s="105">
        <f>+O78</f>
        <v>0</v>
      </c>
      <c r="Y78" s="105">
        <f t="shared" si="14"/>
        <v>0</v>
      </c>
    </row>
    <row r="79" spans="1:25" x14ac:dyDescent="0.25">
      <c r="A79" s="97" t="s">
        <v>113</v>
      </c>
      <c r="B79" s="157" t="s">
        <v>130</v>
      </c>
      <c r="C79" s="99" t="s">
        <v>131</v>
      </c>
      <c r="D79" s="132"/>
      <c r="E79" s="106"/>
      <c r="F79" s="106"/>
      <c r="H79" s="99" t="s">
        <v>70</v>
      </c>
      <c r="I79" s="99" t="str">
        <f t="shared" si="17"/>
        <v>Alquiler de vehículo</v>
      </c>
      <c r="J79" s="105">
        <f t="shared" si="17"/>
        <v>0</v>
      </c>
      <c r="M79" s="105">
        <f t="shared" si="10"/>
        <v>0</v>
      </c>
      <c r="N79" s="106">
        <f t="shared" si="3"/>
        <v>0</v>
      </c>
      <c r="O79" s="105">
        <f t="shared" si="9"/>
        <v>0</v>
      </c>
      <c r="P79" s="105">
        <f t="shared" si="4"/>
        <v>0</v>
      </c>
      <c r="S79" s="105">
        <f t="shared" si="16"/>
        <v>0</v>
      </c>
      <c r="W79" s="105">
        <f>+O79</f>
        <v>0</v>
      </c>
      <c r="Y79" s="105">
        <f t="shared" si="14"/>
        <v>0</v>
      </c>
    </row>
    <row r="80" spans="1:25" x14ac:dyDescent="0.25">
      <c r="A80" s="97" t="s">
        <v>113</v>
      </c>
      <c r="C80" s="154" t="s">
        <v>132</v>
      </c>
      <c r="D80" s="132"/>
      <c r="E80" s="106"/>
      <c r="F80" s="106"/>
      <c r="H80" s="99" t="s">
        <v>70</v>
      </c>
      <c r="I80" s="99" t="str">
        <f t="shared" si="17"/>
        <v>Otros alquileres</v>
      </c>
      <c r="J80" s="105">
        <f t="shared" si="17"/>
        <v>0</v>
      </c>
      <c r="M80" s="105">
        <f t="shared" si="10"/>
        <v>0</v>
      </c>
      <c r="N80" s="106">
        <f t="shared" si="3"/>
        <v>0</v>
      </c>
      <c r="O80" s="105">
        <f t="shared" si="9"/>
        <v>0</v>
      </c>
      <c r="P80" s="105">
        <f t="shared" si="4"/>
        <v>0</v>
      </c>
      <c r="S80" s="105">
        <f t="shared" si="16"/>
        <v>0</v>
      </c>
      <c r="W80" s="105">
        <f>+O80</f>
        <v>0</v>
      </c>
      <c r="Y80" s="105">
        <f t="shared" si="14"/>
        <v>0</v>
      </c>
    </row>
    <row r="81" spans="1:25" s="143" customFormat="1" x14ac:dyDescent="0.25">
      <c r="A81" s="142"/>
      <c r="B81" s="98"/>
      <c r="C81" s="153" t="s">
        <v>133</v>
      </c>
      <c r="D81" s="144"/>
      <c r="E81" s="141"/>
      <c r="F81" s="106"/>
      <c r="J81" s="116"/>
      <c r="M81" s="105">
        <f t="shared" si="10"/>
        <v>0</v>
      </c>
      <c r="N81" s="106">
        <f t="shared" si="3"/>
        <v>0</v>
      </c>
      <c r="O81" s="116">
        <f t="shared" si="9"/>
        <v>0</v>
      </c>
      <c r="P81" s="105">
        <f t="shared" si="4"/>
        <v>0</v>
      </c>
      <c r="Q81" s="99"/>
      <c r="S81" s="105">
        <f t="shared" si="16"/>
        <v>0</v>
      </c>
      <c r="Y81" s="116">
        <f t="shared" si="14"/>
        <v>0</v>
      </c>
    </row>
    <row r="82" spans="1:25" x14ac:dyDescent="0.25">
      <c r="A82" s="97" t="s">
        <v>113</v>
      </c>
      <c r="C82" s="154" t="s">
        <v>134</v>
      </c>
      <c r="D82" s="132"/>
      <c r="E82" s="106"/>
      <c r="F82" s="106"/>
      <c r="H82" s="99" t="s">
        <v>70</v>
      </c>
      <c r="I82" s="99" t="str">
        <f>+C82</f>
        <v>Seguro de bienes muebles</v>
      </c>
      <c r="J82" s="105">
        <f>+D82</f>
        <v>0</v>
      </c>
      <c r="M82" s="105">
        <f t="shared" si="10"/>
        <v>0</v>
      </c>
      <c r="N82" s="106">
        <f t="shared" ref="N82:N145" si="18">+J82+K82-L82-M82</f>
        <v>0</v>
      </c>
      <c r="O82" s="105">
        <f t="shared" si="9"/>
        <v>0</v>
      </c>
      <c r="P82" s="105">
        <f t="shared" si="4"/>
        <v>0</v>
      </c>
      <c r="S82" s="105">
        <f t="shared" si="16"/>
        <v>0</v>
      </c>
      <c r="W82" s="105">
        <f>+O82</f>
        <v>0</v>
      </c>
      <c r="Y82" s="105">
        <f t="shared" si="14"/>
        <v>0</v>
      </c>
    </row>
    <row r="83" spans="1:25" x14ac:dyDescent="0.25">
      <c r="A83" s="97" t="s">
        <v>113</v>
      </c>
      <c r="B83" s="157" t="s">
        <v>135</v>
      </c>
      <c r="C83" s="99" t="s">
        <v>136</v>
      </c>
      <c r="D83" s="132"/>
      <c r="E83" s="106"/>
      <c r="F83" s="106"/>
      <c r="H83" s="99" t="s">
        <v>70</v>
      </c>
      <c r="I83" s="99" t="str">
        <f>+C83</f>
        <v>Seguro de personas</v>
      </c>
      <c r="J83" s="105">
        <f>+D83</f>
        <v>0</v>
      </c>
      <c r="M83" s="105">
        <f t="shared" si="10"/>
        <v>0</v>
      </c>
      <c r="N83" s="106">
        <f t="shared" si="18"/>
        <v>0</v>
      </c>
      <c r="O83" s="105">
        <f t="shared" si="9"/>
        <v>0</v>
      </c>
      <c r="P83" s="105">
        <f t="shared" si="4"/>
        <v>0</v>
      </c>
      <c r="S83" s="105">
        <f t="shared" ref="S83:S126" si="19">SUM(N83:R83)</f>
        <v>0</v>
      </c>
      <c r="U83" s="105"/>
      <c r="V83" s="105"/>
      <c r="W83" s="105">
        <f>+O83</f>
        <v>0</v>
      </c>
      <c r="Y83" s="105">
        <f t="shared" si="14"/>
        <v>0</v>
      </c>
    </row>
    <row r="84" spans="1:25" s="143" customFormat="1" x14ac:dyDescent="0.25">
      <c r="A84" s="142"/>
      <c r="B84" s="98"/>
      <c r="C84" s="153" t="s">
        <v>137</v>
      </c>
      <c r="D84" s="144"/>
      <c r="E84" s="141"/>
      <c r="F84" s="106"/>
      <c r="J84" s="116"/>
      <c r="M84" s="105">
        <f t="shared" si="10"/>
        <v>0</v>
      </c>
      <c r="N84" s="106">
        <f t="shared" si="18"/>
        <v>0</v>
      </c>
      <c r="O84" s="116">
        <f t="shared" si="9"/>
        <v>0</v>
      </c>
      <c r="P84" s="105">
        <f t="shared" si="4"/>
        <v>0</v>
      </c>
      <c r="Q84" s="99"/>
      <c r="S84" s="116">
        <f t="shared" si="19"/>
        <v>0</v>
      </c>
      <c r="Y84" s="116">
        <f t="shared" si="14"/>
        <v>0</v>
      </c>
    </row>
    <row r="85" spans="1:25" x14ac:dyDescent="0.25">
      <c r="A85" s="97" t="s">
        <v>113</v>
      </c>
      <c r="C85" s="154" t="s">
        <v>138</v>
      </c>
      <c r="D85" s="132">
        <v>7904177.7090677973</v>
      </c>
      <c r="E85" s="106"/>
      <c r="F85" s="106"/>
      <c r="H85" s="99" t="s">
        <v>70</v>
      </c>
      <c r="I85" s="99" t="str">
        <f t="shared" ref="I85:J90" si="20">+C85</f>
        <v>Servicios especiales de mantenimiento y reparación</v>
      </c>
      <c r="J85" s="105">
        <f t="shared" si="20"/>
        <v>7904177.7090677973</v>
      </c>
      <c r="M85" s="105">
        <f t="shared" si="10"/>
        <v>0</v>
      </c>
      <c r="N85" s="106">
        <f t="shared" si="18"/>
        <v>7904177.7090677973</v>
      </c>
      <c r="O85" s="105">
        <f t="shared" si="9"/>
        <v>-7904177.7090677973</v>
      </c>
      <c r="P85" s="105">
        <f t="shared" si="4"/>
        <v>-7904177.7090677973</v>
      </c>
      <c r="S85" s="105">
        <f t="shared" si="19"/>
        <v>-7904177.7090677973</v>
      </c>
      <c r="W85" s="105">
        <f>N85</f>
        <v>7904177.7090677973</v>
      </c>
      <c r="Y85" s="105">
        <f t="shared" si="14"/>
        <v>15808355.418135595</v>
      </c>
    </row>
    <row r="86" spans="1:25" x14ac:dyDescent="0.25">
      <c r="A86" s="97" t="s">
        <v>113</v>
      </c>
      <c r="B86" s="155" t="s">
        <v>139</v>
      </c>
      <c r="C86" s="99" t="s">
        <v>140</v>
      </c>
      <c r="D86" s="132"/>
      <c r="E86" s="106"/>
      <c r="F86" s="106"/>
      <c r="I86" s="99" t="str">
        <f t="shared" si="20"/>
        <v>Servicios de pintura y derivados con fin de higiene y embellecimiento</v>
      </c>
      <c r="J86" s="105">
        <f t="shared" si="20"/>
        <v>0</v>
      </c>
      <c r="M86" s="105">
        <f t="shared" si="10"/>
        <v>0</v>
      </c>
      <c r="N86" s="106">
        <f t="shared" si="18"/>
        <v>0</v>
      </c>
      <c r="O86" s="105">
        <f t="shared" si="9"/>
        <v>0</v>
      </c>
      <c r="P86" s="105">
        <f t="shared" si="4"/>
        <v>0</v>
      </c>
      <c r="S86" s="105">
        <f t="shared" si="19"/>
        <v>0</v>
      </c>
      <c r="W86" s="105">
        <f>+O86</f>
        <v>0</v>
      </c>
      <c r="Y86" s="105">
        <f t="shared" si="14"/>
        <v>0</v>
      </c>
    </row>
    <row r="87" spans="1:25" x14ac:dyDescent="0.25">
      <c r="A87" s="97" t="s">
        <v>113</v>
      </c>
      <c r="B87" s="158"/>
      <c r="C87" s="99" t="s">
        <v>141</v>
      </c>
      <c r="D87" s="132"/>
      <c r="E87" s="106"/>
      <c r="F87" s="106"/>
      <c r="H87" s="99" t="s">
        <v>70</v>
      </c>
      <c r="I87" s="99" t="str">
        <f t="shared" si="20"/>
        <v>Reparaciones de obras menores</v>
      </c>
      <c r="J87" s="105">
        <f t="shared" si="20"/>
        <v>0</v>
      </c>
      <c r="M87" s="105">
        <f t="shared" si="10"/>
        <v>0</v>
      </c>
      <c r="N87" s="106">
        <f t="shared" si="18"/>
        <v>0</v>
      </c>
      <c r="O87" s="105">
        <f>-N87</f>
        <v>0</v>
      </c>
      <c r="P87" s="105">
        <f t="shared" si="4"/>
        <v>0</v>
      </c>
      <c r="S87" s="105">
        <f>SUM(N87:R87)</f>
        <v>0</v>
      </c>
      <c r="W87" s="105">
        <f>+O87</f>
        <v>0</v>
      </c>
      <c r="Y87" s="105">
        <f t="shared" si="14"/>
        <v>0</v>
      </c>
    </row>
    <row r="88" spans="1:25" x14ac:dyDescent="0.25">
      <c r="A88" s="97" t="s">
        <v>113</v>
      </c>
      <c r="C88" s="154" t="s">
        <v>142</v>
      </c>
      <c r="D88" s="132"/>
      <c r="E88" s="106"/>
      <c r="F88" s="106"/>
      <c r="H88" s="99" t="s">
        <v>70</v>
      </c>
      <c r="I88" s="99" t="str">
        <f t="shared" si="20"/>
        <v>Mant. y rep. De equipo de oficina y muebles</v>
      </c>
      <c r="J88" s="105">
        <f t="shared" si="20"/>
        <v>0</v>
      </c>
      <c r="M88" s="105">
        <f t="shared" si="10"/>
        <v>0</v>
      </c>
      <c r="N88" s="106">
        <f t="shared" si="18"/>
        <v>0</v>
      </c>
      <c r="O88" s="105">
        <f t="shared" si="9"/>
        <v>0</v>
      </c>
      <c r="P88" s="105">
        <f t="shared" si="4"/>
        <v>0</v>
      </c>
      <c r="S88" s="105">
        <f t="shared" si="19"/>
        <v>0</v>
      </c>
      <c r="W88" s="105">
        <f>+O88</f>
        <v>0</v>
      </c>
      <c r="Y88" s="105">
        <f t="shared" si="14"/>
        <v>0</v>
      </c>
    </row>
    <row r="89" spans="1:25" x14ac:dyDescent="0.25">
      <c r="A89" s="97" t="s">
        <v>113</v>
      </c>
      <c r="B89" s="157" t="s">
        <v>143</v>
      </c>
      <c r="C89" s="99" t="s">
        <v>144</v>
      </c>
      <c r="D89" s="132"/>
      <c r="E89" s="106"/>
      <c r="F89" s="106"/>
      <c r="H89" s="99" t="s">
        <v>70</v>
      </c>
      <c r="I89" s="99" t="str">
        <f t="shared" si="20"/>
        <v>Mant. y rep. De equipo de comunicación</v>
      </c>
      <c r="J89" s="105">
        <f t="shared" si="20"/>
        <v>0</v>
      </c>
      <c r="M89" s="105">
        <f t="shared" si="10"/>
        <v>0</v>
      </c>
      <c r="N89" s="106">
        <f t="shared" si="18"/>
        <v>0</v>
      </c>
      <c r="O89" s="105">
        <f t="shared" si="9"/>
        <v>0</v>
      </c>
      <c r="P89" s="105">
        <f t="shared" ref="P89:P114" si="21">-N89</f>
        <v>0</v>
      </c>
      <c r="S89" s="105">
        <f t="shared" si="19"/>
        <v>0</v>
      </c>
      <c r="W89" s="105">
        <f>+O89</f>
        <v>0</v>
      </c>
      <c r="Y89" s="105">
        <f t="shared" si="14"/>
        <v>0</v>
      </c>
    </row>
    <row r="90" spans="1:25" x14ac:dyDescent="0.25">
      <c r="A90" s="97" t="s">
        <v>113</v>
      </c>
      <c r="C90" s="154" t="s">
        <v>145</v>
      </c>
      <c r="D90" s="132"/>
      <c r="E90" s="106"/>
      <c r="F90" s="106"/>
      <c r="H90" s="99" t="s">
        <v>70</v>
      </c>
      <c r="I90" s="99" t="str">
        <f t="shared" si="20"/>
        <v>Mant. y rep. De equipo de transporte, tracción y elevación</v>
      </c>
      <c r="J90" s="105">
        <f t="shared" si="20"/>
        <v>0</v>
      </c>
      <c r="M90" s="105">
        <f t="shared" si="10"/>
        <v>0</v>
      </c>
      <c r="N90" s="106">
        <f t="shared" si="18"/>
        <v>0</v>
      </c>
      <c r="O90" s="105">
        <f t="shared" si="9"/>
        <v>0</v>
      </c>
      <c r="P90" s="105">
        <f t="shared" si="21"/>
        <v>0</v>
      </c>
      <c r="S90" s="105">
        <f t="shared" si="19"/>
        <v>0</v>
      </c>
      <c r="W90" s="105">
        <f>+O90</f>
        <v>0</v>
      </c>
      <c r="Y90" s="105">
        <f t="shared" si="14"/>
        <v>0</v>
      </c>
    </row>
    <row r="91" spans="1:25" s="143" customFormat="1" x14ac:dyDescent="0.25">
      <c r="A91" s="142"/>
      <c r="B91" s="98"/>
      <c r="C91" s="153" t="s">
        <v>146</v>
      </c>
      <c r="D91" s="144"/>
      <c r="E91" s="141"/>
      <c r="F91" s="106"/>
      <c r="J91" s="116"/>
      <c r="M91" s="105">
        <f t="shared" si="10"/>
        <v>0</v>
      </c>
      <c r="N91" s="106">
        <f t="shared" si="18"/>
        <v>0</v>
      </c>
      <c r="O91" s="116">
        <f t="shared" si="9"/>
        <v>0</v>
      </c>
      <c r="P91" s="105">
        <f t="shared" si="21"/>
        <v>0</v>
      </c>
      <c r="Q91" s="99"/>
      <c r="S91" s="116">
        <f t="shared" si="19"/>
        <v>0</v>
      </c>
      <c r="Y91" s="116">
        <f t="shared" si="14"/>
        <v>0</v>
      </c>
    </row>
    <row r="92" spans="1:25" x14ac:dyDescent="0.25">
      <c r="A92" s="97" t="s">
        <v>113</v>
      </c>
      <c r="C92" s="154" t="s">
        <v>147</v>
      </c>
      <c r="D92" s="132"/>
      <c r="E92" s="106"/>
      <c r="F92" s="106"/>
      <c r="H92" s="99" t="s">
        <v>70</v>
      </c>
      <c r="I92" s="99" t="str">
        <f t="shared" ref="I92:J102" si="22">+C92</f>
        <v>Comisiones y gastos bancarios</v>
      </c>
      <c r="J92" s="105">
        <f t="shared" si="22"/>
        <v>0</v>
      </c>
      <c r="M92" s="105">
        <f t="shared" si="10"/>
        <v>0</v>
      </c>
      <c r="N92" s="106">
        <f t="shared" si="18"/>
        <v>0</v>
      </c>
      <c r="O92" s="105">
        <f t="shared" si="9"/>
        <v>0</v>
      </c>
      <c r="P92" s="105">
        <f t="shared" si="21"/>
        <v>0</v>
      </c>
      <c r="S92" s="105">
        <f t="shared" si="19"/>
        <v>0</v>
      </c>
      <c r="W92" s="105">
        <f t="shared" ref="W92:W104" si="23">+O92</f>
        <v>0</v>
      </c>
      <c r="Y92" s="105">
        <f t="shared" si="14"/>
        <v>0</v>
      </c>
    </row>
    <row r="93" spans="1:25" x14ac:dyDescent="0.25">
      <c r="A93" s="97" t="s">
        <v>113</v>
      </c>
      <c r="B93" s="157" t="s">
        <v>148</v>
      </c>
      <c r="C93" s="99" t="s">
        <v>149</v>
      </c>
      <c r="D93" s="132"/>
      <c r="E93" s="106"/>
      <c r="F93" s="106"/>
      <c r="H93" s="99" t="s">
        <v>70</v>
      </c>
      <c r="I93" s="99" t="str">
        <f t="shared" si="22"/>
        <v xml:space="preserve">Servicios sanitarios médicos y veterinarios </v>
      </c>
      <c r="J93" s="105">
        <f t="shared" si="22"/>
        <v>0</v>
      </c>
      <c r="M93" s="105">
        <f t="shared" si="10"/>
        <v>0</v>
      </c>
      <c r="N93" s="106">
        <f t="shared" si="18"/>
        <v>0</v>
      </c>
      <c r="O93" s="105">
        <f t="shared" si="9"/>
        <v>0</v>
      </c>
      <c r="P93" s="105">
        <f t="shared" si="21"/>
        <v>0</v>
      </c>
      <c r="S93" s="105">
        <f t="shared" si="19"/>
        <v>0</v>
      </c>
      <c r="W93" s="105">
        <f t="shared" si="23"/>
        <v>0</v>
      </c>
      <c r="Y93" s="105">
        <f t="shared" si="14"/>
        <v>0</v>
      </c>
    </row>
    <row r="94" spans="1:25" x14ac:dyDescent="0.25">
      <c r="A94" s="97" t="s">
        <v>113</v>
      </c>
      <c r="C94" s="154" t="s">
        <v>150</v>
      </c>
      <c r="D94" s="132"/>
      <c r="E94" s="106"/>
      <c r="F94" s="106"/>
      <c r="I94" s="99" t="str">
        <f t="shared" si="22"/>
        <v>Fumigación</v>
      </c>
      <c r="J94" s="105">
        <f t="shared" si="22"/>
        <v>0</v>
      </c>
      <c r="M94" s="105">
        <f t="shared" si="10"/>
        <v>0</v>
      </c>
      <c r="N94" s="106">
        <f t="shared" si="18"/>
        <v>0</v>
      </c>
      <c r="O94" s="105">
        <f t="shared" si="9"/>
        <v>0</v>
      </c>
      <c r="P94" s="105">
        <f t="shared" si="21"/>
        <v>0</v>
      </c>
      <c r="S94" s="105">
        <f t="shared" si="19"/>
        <v>0</v>
      </c>
      <c r="W94" s="105">
        <f t="shared" si="23"/>
        <v>0</v>
      </c>
      <c r="Y94" s="105">
        <f t="shared" si="14"/>
        <v>0</v>
      </c>
    </row>
    <row r="95" spans="1:25" x14ac:dyDescent="0.25">
      <c r="A95" s="97" t="s">
        <v>113</v>
      </c>
      <c r="B95" s="98" t="s">
        <v>151</v>
      </c>
      <c r="C95" s="154" t="s">
        <v>152</v>
      </c>
      <c r="D95" s="132"/>
      <c r="E95" s="106"/>
      <c r="F95" s="106"/>
      <c r="H95" s="99" t="s">
        <v>70</v>
      </c>
      <c r="I95" s="99" t="str">
        <f t="shared" si="22"/>
        <v>Lavandería</v>
      </c>
      <c r="J95" s="105">
        <f t="shared" si="22"/>
        <v>0</v>
      </c>
      <c r="M95" s="105">
        <f t="shared" si="10"/>
        <v>0</v>
      </c>
      <c r="N95" s="106">
        <f t="shared" si="18"/>
        <v>0</v>
      </c>
      <c r="O95" s="105">
        <f t="shared" si="9"/>
        <v>0</v>
      </c>
      <c r="P95" s="105">
        <f t="shared" si="21"/>
        <v>0</v>
      </c>
      <c r="S95" s="105">
        <f t="shared" si="19"/>
        <v>0</v>
      </c>
      <c r="W95" s="105">
        <f t="shared" si="23"/>
        <v>0</v>
      </c>
      <c r="Y95" s="105">
        <f t="shared" si="14"/>
        <v>0</v>
      </c>
    </row>
    <row r="96" spans="1:25" x14ac:dyDescent="0.25">
      <c r="A96" s="97" t="s">
        <v>113</v>
      </c>
      <c r="B96" s="98" t="s">
        <v>151</v>
      </c>
      <c r="C96" s="154" t="s">
        <v>153</v>
      </c>
      <c r="D96" s="132"/>
      <c r="E96" s="106"/>
      <c r="F96" s="106"/>
      <c r="H96" s="99" t="s">
        <v>70</v>
      </c>
      <c r="I96" s="99" t="str">
        <f t="shared" si="22"/>
        <v>Limpieza e higiene</v>
      </c>
      <c r="J96" s="105">
        <f t="shared" si="22"/>
        <v>0</v>
      </c>
      <c r="M96" s="105">
        <f t="shared" si="10"/>
        <v>0</v>
      </c>
      <c r="N96" s="106">
        <f t="shared" si="18"/>
        <v>0</v>
      </c>
      <c r="O96" s="105">
        <f t="shared" si="9"/>
        <v>0</v>
      </c>
      <c r="P96" s="105">
        <f t="shared" si="21"/>
        <v>0</v>
      </c>
      <c r="S96" s="105">
        <f t="shared" si="19"/>
        <v>0</v>
      </c>
      <c r="W96" s="105">
        <f t="shared" si="23"/>
        <v>0</v>
      </c>
      <c r="Y96" s="105">
        <f t="shared" si="14"/>
        <v>0</v>
      </c>
    </row>
    <row r="97" spans="1:28" x14ac:dyDescent="0.25">
      <c r="A97" s="97" t="s">
        <v>113</v>
      </c>
      <c r="C97" s="154" t="s">
        <v>154</v>
      </c>
      <c r="D97" s="132"/>
      <c r="E97" s="106"/>
      <c r="F97" s="106"/>
      <c r="H97" s="99" t="s">
        <v>70</v>
      </c>
      <c r="I97" s="99" t="str">
        <f t="shared" si="22"/>
        <v>Eventos generales</v>
      </c>
      <c r="J97" s="105">
        <f t="shared" si="22"/>
        <v>0</v>
      </c>
      <c r="M97" s="105">
        <f t="shared" si="10"/>
        <v>0</v>
      </c>
      <c r="N97" s="106">
        <f t="shared" si="18"/>
        <v>0</v>
      </c>
      <c r="O97" s="105">
        <f t="shared" si="9"/>
        <v>0</v>
      </c>
      <c r="P97" s="105">
        <f t="shared" si="21"/>
        <v>0</v>
      </c>
      <c r="S97" s="105">
        <f t="shared" si="19"/>
        <v>0</v>
      </c>
      <c r="W97" s="105">
        <f t="shared" si="23"/>
        <v>0</v>
      </c>
      <c r="Y97" s="105">
        <f t="shared" si="14"/>
        <v>0</v>
      </c>
    </row>
    <row r="98" spans="1:28" x14ac:dyDescent="0.25">
      <c r="A98" s="97" t="s">
        <v>113</v>
      </c>
      <c r="C98" s="154" t="s">
        <v>155</v>
      </c>
      <c r="D98" s="132"/>
      <c r="E98" s="106"/>
      <c r="F98" s="106"/>
      <c r="H98" s="99" t="s">
        <v>70</v>
      </c>
      <c r="I98" s="99" t="str">
        <f t="shared" si="22"/>
        <v>Festividades</v>
      </c>
      <c r="J98" s="105">
        <f t="shared" si="22"/>
        <v>0</v>
      </c>
      <c r="M98" s="105">
        <f t="shared" si="10"/>
        <v>0</v>
      </c>
      <c r="N98" s="106">
        <f t="shared" si="18"/>
        <v>0</v>
      </c>
      <c r="O98" s="105">
        <f t="shared" si="9"/>
        <v>0</v>
      </c>
      <c r="P98" s="105">
        <f t="shared" si="21"/>
        <v>0</v>
      </c>
      <c r="S98" s="105">
        <f t="shared" si="19"/>
        <v>0</v>
      </c>
      <c r="W98" s="105">
        <f t="shared" si="23"/>
        <v>0</v>
      </c>
      <c r="Y98" s="105">
        <f t="shared" si="14"/>
        <v>0</v>
      </c>
    </row>
    <row r="99" spans="1:28" x14ac:dyDescent="0.25">
      <c r="A99" s="97" t="s">
        <v>113</v>
      </c>
      <c r="C99" s="154" t="s">
        <v>156</v>
      </c>
      <c r="D99" s="132"/>
      <c r="E99" s="106"/>
      <c r="F99" s="106"/>
      <c r="H99" s="99" t="s">
        <v>70</v>
      </c>
      <c r="I99" s="99" t="str">
        <f t="shared" si="22"/>
        <v>Servicios jurídicos</v>
      </c>
      <c r="J99" s="105">
        <f t="shared" si="22"/>
        <v>0</v>
      </c>
      <c r="M99" s="105">
        <f t="shared" si="10"/>
        <v>0</v>
      </c>
      <c r="N99" s="106">
        <f t="shared" si="18"/>
        <v>0</v>
      </c>
      <c r="O99" s="105">
        <f t="shared" si="9"/>
        <v>0</v>
      </c>
      <c r="P99" s="105">
        <f t="shared" si="21"/>
        <v>0</v>
      </c>
      <c r="S99" s="105">
        <f t="shared" si="19"/>
        <v>0</v>
      </c>
      <c r="W99" s="105">
        <f t="shared" si="23"/>
        <v>0</v>
      </c>
      <c r="Y99" s="105">
        <f t="shared" si="14"/>
        <v>0</v>
      </c>
    </row>
    <row r="100" spans="1:28" x14ac:dyDescent="0.25">
      <c r="A100" s="97" t="s">
        <v>113</v>
      </c>
      <c r="B100" s="157" t="s">
        <v>157</v>
      </c>
      <c r="C100" s="154" t="s">
        <v>158</v>
      </c>
      <c r="D100" s="132"/>
      <c r="E100" s="106"/>
      <c r="F100" s="106"/>
      <c r="H100" s="99" t="s">
        <v>70</v>
      </c>
      <c r="I100" s="99" t="str">
        <f t="shared" si="22"/>
        <v>Servicios de capacitación</v>
      </c>
      <c r="J100" s="105">
        <f t="shared" si="22"/>
        <v>0</v>
      </c>
      <c r="M100" s="105">
        <f t="shared" si="10"/>
        <v>0</v>
      </c>
      <c r="N100" s="106">
        <f t="shared" si="18"/>
        <v>0</v>
      </c>
      <c r="O100" s="105">
        <f t="shared" si="9"/>
        <v>0</v>
      </c>
      <c r="P100" s="105">
        <f t="shared" si="21"/>
        <v>0</v>
      </c>
      <c r="S100" s="105">
        <f t="shared" si="19"/>
        <v>0</v>
      </c>
      <c r="W100" s="105">
        <f t="shared" si="23"/>
        <v>0</v>
      </c>
      <c r="Y100" s="105">
        <f t="shared" si="14"/>
        <v>0</v>
      </c>
    </row>
    <row r="101" spans="1:28" x14ac:dyDescent="0.25">
      <c r="A101" s="97" t="s">
        <v>113</v>
      </c>
      <c r="C101" s="154" t="s">
        <v>159</v>
      </c>
      <c r="D101" s="132"/>
      <c r="E101" s="106"/>
      <c r="F101" s="106"/>
      <c r="H101" s="99" t="s">
        <v>70</v>
      </c>
      <c r="I101" s="99" t="str">
        <f t="shared" si="22"/>
        <v>Otros servicios técnicos profesionales</v>
      </c>
      <c r="J101" s="105">
        <f t="shared" si="22"/>
        <v>0</v>
      </c>
      <c r="M101" s="105">
        <f t="shared" si="10"/>
        <v>0</v>
      </c>
      <c r="N101" s="106">
        <f t="shared" si="18"/>
        <v>0</v>
      </c>
      <c r="O101" s="105">
        <f t="shared" si="9"/>
        <v>0</v>
      </c>
      <c r="P101" s="105">
        <f t="shared" si="21"/>
        <v>0</v>
      </c>
      <c r="S101" s="105">
        <f t="shared" si="19"/>
        <v>0</v>
      </c>
      <c r="W101" s="105">
        <f t="shared" si="23"/>
        <v>0</v>
      </c>
      <c r="Y101" s="105">
        <f t="shared" si="14"/>
        <v>0</v>
      </c>
    </row>
    <row r="102" spans="1:28" x14ac:dyDescent="0.25">
      <c r="A102" s="97" t="s">
        <v>113</v>
      </c>
      <c r="C102" s="154" t="s">
        <v>160</v>
      </c>
      <c r="D102" s="132"/>
      <c r="E102" s="106"/>
      <c r="F102" s="106"/>
      <c r="I102" s="99" t="str">
        <f t="shared" si="22"/>
        <v>Impuestos </v>
      </c>
      <c r="J102" s="105">
        <f t="shared" si="22"/>
        <v>0</v>
      </c>
      <c r="M102" s="105">
        <f t="shared" si="10"/>
        <v>0</v>
      </c>
      <c r="N102" s="106">
        <f t="shared" si="18"/>
        <v>0</v>
      </c>
      <c r="O102" s="105">
        <f t="shared" si="9"/>
        <v>0</v>
      </c>
      <c r="P102" s="105">
        <f t="shared" si="21"/>
        <v>0</v>
      </c>
      <c r="S102" s="105">
        <f t="shared" si="19"/>
        <v>0</v>
      </c>
      <c r="W102" s="105">
        <f t="shared" si="23"/>
        <v>0</v>
      </c>
      <c r="Y102" s="105">
        <f t="shared" si="14"/>
        <v>0</v>
      </c>
    </row>
    <row r="103" spans="1:28" s="143" customFormat="1" x14ac:dyDescent="0.25">
      <c r="A103" s="142"/>
      <c r="B103" s="98"/>
      <c r="C103" s="153" t="s">
        <v>161</v>
      </c>
      <c r="D103" s="144"/>
      <c r="E103" s="141"/>
      <c r="F103" s="106"/>
      <c r="J103" s="116"/>
      <c r="M103" s="105">
        <f t="shared" si="10"/>
        <v>0</v>
      </c>
      <c r="N103" s="106">
        <f t="shared" si="18"/>
        <v>0</v>
      </c>
      <c r="O103" s="116">
        <f t="shared" si="9"/>
        <v>0</v>
      </c>
      <c r="P103" s="105">
        <f t="shared" si="21"/>
        <v>0</v>
      </c>
      <c r="Q103" s="99"/>
      <c r="S103" s="116">
        <f t="shared" si="19"/>
        <v>0</v>
      </c>
      <c r="W103" s="105">
        <f t="shared" si="23"/>
        <v>0</v>
      </c>
      <c r="Y103" s="116">
        <f t="shared" si="14"/>
        <v>0</v>
      </c>
      <c r="AA103" s="122" t="b">
        <f t="shared" ref="AA103:AA152" si="24">+AB103=C103</f>
        <v>1</v>
      </c>
      <c r="AB103" s="159" t="s">
        <v>161</v>
      </c>
    </row>
    <row r="104" spans="1:28" s="143" customFormat="1" x14ac:dyDescent="0.25">
      <c r="A104" s="142"/>
      <c r="B104" s="98"/>
      <c r="C104" s="153" t="s">
        <v>162</v>
      </c>
      <c r="D104" s="144"/>
      <c r="E104" s="141"/>
      <c r="F104" s="106"/>
      <c r="J104" s="116"/>
      <c r="M104" s="105">
        <f t="shared" si="10"/>
        <v>0</v>
      </c>
      <c r="N104" s="106">
        <f t="shared" si="18"/>
        <v>0</v>
      </c>
      <c r="O104" s="116">
        <f t="shared" si="9"/>
        <v>0</v>
      </c>
      <c r="P104" s="105">
        <f t="shared" si="21"/>
        <v>0</v>
      </c>
      <c r="Q104" s="99"/>
      <c r="S104" s="116">
        <f t="shared" si="19"/>
        <v>0</v>
      </c>
      <c r="W104" s="105">
        <f t="shared" si="23"/>
        <v>0</v>
      </c>
      <c r="Y104" s="116">
        <f t="shared" si="14"/>
        <v>0</v>
      </c>
      <c r="AA104" s="122" t="b">
        <f t="shared" si="24"/>
        <v>1</v>
      </c>
      <c r="AB104" s="159" t="s">
        <v>162</v>
      </c>
    </row>
    <row r="105" spans="1:28" x14ac:dyDescent="0.25">
      <c r="A105" s="97" t="s">
        <v>93</v>
      </c>
      <c r="B105" s="143" t="s">
        <v>163</v>
      </c>
      <c r="C105" s="160" t="s">
        <v>164</v>
      </c>
      <c r="D105" s="132">
        <v>698914.02</v>
      </c>
      <c r="E105" s="106"/>
      <c r="F105" s="106"/>
      <c r="H105" s="99" t="s">
        <v>70</v>
      </c>
      <c r="I105" s="99" t="str">
        <f>+C105</f>
        <v>Alimentos y bebidas para personas</v>
      </c>
      <c r="J105" s="105">
        <f>+D105</f>
        <v>698914.02</v>
      </c>
      <c r="M105" s="105">
        <f t="shared" si="10"/>
        <v>0</v>
      </c>
      <c r="N105" s="106">
        <f t="shared" si="18"/>
        <v>698914.02</v>
      </c>
      <c r="O105" s="105">
        <f t="shared" si="9"/>
        <v>-698914.02</v>
      </c>
      <c r="P105" s="105">
        <f t="shared" si="21"/>
        <v>-698914.02</v>
      </c>
      <c r="S105" s="105">
        <f t="shared" si="19"/>
        <v>-698914.02</v>
      </c>
      <c r="U105" s="105"/>
      <c r="V105" s="105"/>
      <c r="W105" s="105">
        <f>N105</f>
        <v>698914.02</v>
      </c>
      <c r="Y105" s="105">
        <f t="shared" si="14"/>
        <v>1397828.04</v>
      </c>
      <c r="AA105" s="122" t="b">
        <f t="shared" si="24"/>
        <v>1</v>
      </c>
      <c r="AB105" s="160" t="s">
        <v>164</v>
      </c>
    </row>
    <row r="106" spans="1:28" x14ac:dyDescent="0.25">
      <c r="A106" s="97" t="s">
        <v>165</v>
      </c>
      <c r="B106" s="143" t="s">
        <v>166</v>
      </c>
      <c r="C106" s="160" t="s">
        <v>167</v>
      </c>
      <c r="D106" s="132"/>
      <c r="E106" s="106"/>
      <c r="F106" s="106"/>
      <c r="H106" s="99" t="s">
        <v>70</v>
      </c>
      <c r="I106" s="99" t="str">
        <f>+C106</f>
        <v>Productos forestales</v>
      </c>
      <c r="J106" s="105">
        <f>+D106</f>
        <v>0</v>
      </c>
      <c r="M106" s="105">
        <f t="shared" si="10"/>
        <v>0</v>
      </c>
      <c r="N106" s="106">
        <f t="shared" si="18"/>
        <v>0</v>
      </c>
      <c r="O106" s="105">
        <f t="shared" si="9"/>
        <v>0</v>
      </c>
      <c r="P106" s="105">
        <f t="shared" si="21"/>
        <v>0</v>
      </c>
      <c r="S106" s="105">
        <f t="shared" si="19"/>
        <v>0</v>
      </c>
      <c r="U106" s="105"/>
      <c r="V106" s="105"/>
      <c r="W106" s="105">
        <f t="shared" ref="W106:W166" si="25">N106</f>
        <v>0</v>
      </c>
      <c r="Y106" s="105">
        <f t="shared" si="14"/>
        <v>0</v>
      </c>
      <c r="AA106" s="122" t="b">
        <f t="shared" si="24"/>
        <v>1</v>
      </c>
      <c r="AB106" s="160" t="s">
        <v>167</v>
      </c>
    </row>
    <row r="107" spans="1:28" s="143" customFormat="1" x14ac:dyDescent="0.25">
      <c r="A107" s="142"/>
      <c r="C107" s="153" t="s">
        <v>168</v>
      </c>
      <c r="D107" s="144"/>
      <c r="E107" s="141"/>
      <c r="F107" s="106"/>
      <c r="J107" s="116"/>
      <c r="M107" s="105">
        <f t="shared" si="10"/>
        <v>0</v>
      </c>
      <c r="N107" s="106">
        <f t="shared" si="18"/>
        <v>0</v>
      </c>
      <c r="O107" s="116">
        <f t="shared" si="9"/>
        <v>0</v>
      </c>
      <c r="P107" s="105">
        <f t="shared" si="21"/>
        <v>0</v>
      </c>
      <c r="Q107" s="99"/>
      <c r="S107" s="116">
        <f t="shared" si="19"/>
        <v>0</v>
      </c>
      <c r="W107" s="105">
        <f t="shared" si="25"/>
        <v>0</v>
      </c>
      <c r="Y107" s="116">
        <f t="shared" si="14"/>
        <v>0</v>
      </c>
      <c r="AA107" s="122" t="b">
        <f t="shared" si="24"/>
        <v>1</v>
      </c>
      <c r="AB107" s="159" t="s">
        <v>168</v>
      </c>
    </row>
    <row r="108" spans="1:28" x14ac:dyDescent="0.25">
      <c r="A108" s="97" t="s">
        <v>165</v>
      </c>
      <c r="B108" s="143" t="s">
        <v>169</v>
      </c>
      <c r="C108" s="160" t="s">
        <v>170</v>
      </c>
      <c r="D108" s="161"/>
      <c r="E108" s="106"/>
      <c r="F108" s="106"/>
      <c r="H108" s="99" t="s">
        <v>70</v>
      </c>
      <c r="I108" s="99" t="str">
        <f t="shared" ref="I108:J110" si="26">+C108</f>
        <v>Hilados y telas</v>
      </c>
      <c r="J108" s="105">
        <f t="shared" si="26"/>
        <v>0</v>
      </c>
      <c r="M108" s="105">
        <f t="shared" si="10"/>
        <v>0</v>
      </c>
      <c r="N108" s="106">
        <f t="shared" si="18"/>
        <v>0</v>
      </c>
      <c r="O108" s="105">
        <f t="shared" si="9"/>
        <v>0</v>
      </c>
      <c r="P108" s="105">
        <f t="shared" si="21"/>
        <v>0</v>
      </c>
      <c r="S108" s="105">
        <f t="shared" si="19"/>
        <v>0</v>
      </c>
      <c r="W108" s="105">
        <f t="shared" si="25"/>
        <v>0</v>
      </c>
      <c r="Y108" s="105">
        <f t="shared" si="14"/>
        <v>0</v>
      </c>
      <c r="AA108" s="122" t="b">
        <f t="shared" si="24"/>
        <v>1</v>
      </c>
      <c r="AB108" s="160" t="s">
        <v>170</v>
      </c>
    </row>
    <row r="109" spans="1:28" x14ac:dyDescent="0.25">
      <c r="A109" s="97" t="s">
        <v>165</v>
      </c>
      <c r="B109" s="143" t="s">
        <v>171</v>
      </c>
      <c r="C109" s="160" t="s">
        <v>172</v>
      </c>
      <c r="D109" s="132"/>
      <c r="E109" s="106"/>
      <c r="F109" s="106"/>
      <c r="H109" s="99" t="s">
        <v>70</v>
      </c>
      <c r="I109" s="99" t="str">
        <f t="shared" si="26"/>
        <v>Acabados textiles</v>
      </c>
      <c r="J109" s="105">
        <f t="shared" si="26"/>
        <v>0</v>
      </c>
      <c r="M109" s="105">
        <f t="shared" si="10"/>
        <v>0</v>
      </c>
      <c r="N109" s="106">
        <f t="shared" si="18"/>
        <v>0</v>
      </c>
      <c r="O109" s="105">
        <f t="shared" ref="O109:O164" si="27">-N109</f>
        <v>0</v>
      </c>
      <c r="P109" s="105">
        <f t="shared" si="21"/>
        <v>0</v>
      </c>
      <c r="S109" s="105">
        <f t="shared" si="19"/>
        <v>0</v>
      </c>
      <c r="W109" s="105">
        <f t="shared" si="25"/>
        <v>0</v>
      </c>
      <c r="Y109" s="105">
        <f t="shared" si="14"/>
        <v>0</v>
      </c>
      <c r="AA109" s="122" t="b">
        <f t="shared" si="24"/>
        <v>1</v>
      </c>
      <c r="AB109" s="160" t="s">
        <v>172</v>
      </c>
    </row>
    <row r="110" spans="1:28" x14ac:dyDescent="0.25">
      <c r="A110" s="97" t="s">
        <v>93</v>
      </c>
      <c r="B110" s="143" t="s">
        <v>173</v>
      </c>
      <c r="C110" s="160" t="s">
        <v>174</v>
      </c>
      <c r="D110" s="132"/>
      <c r="E110" s="106"/>
      <c r="F110" s="106"/>
      <c r="H110" s="99" t="s">
        <v>70</v>
      </c>
      <c r="I110" s="99" t="str">
        <f t="shared" si="26"/>
        <v>Prendas de vestir</v>
      </c>
      <c r="J110" s="105">
        <f t="shared" si="26"/>
        <v>0</v>
      </c>
      <c r="M110" s="105">
        <f t="shared" ref="M110:M162" si="28">F110</f>
        <v>0</v>
      </c>
      <c r="N110" s="106">
        <f t="shared" si="18"/>
        <v>0</v>
      </c>
      <c r="O110" s="105">
        <f t="shared" si="27"/>
        <v>0</v>
      </c>
      <c r="P110" s="105">
        <f t="shared" si="21"/>
        <v>0</v>
      </c>
      <c r="S110" s="105">
        <f t="shared" si="19"/>
        <v>0</v>
      </c>
      <c r="U110" s="105">
        <f>+O110</f>
        <v>0</v>
      </c>
      <c r="V110" s="105"/>
      <c r="W110" s="105">
        <f t="shared" si="25"/>
        <v>0</v>
      </c>
      <c r="Y110" s="105">
        <f t="shared" si="14"/>
        <v>0</v>
      </c>
      <c r="AA110" s="122" t="b">
        <f t="shared" si="24"/>
        <v>1</v>
      </c>
      <c r="AB110" s="160" t="s">
        <v>174</v>
      </c>
    </row>
    <row r="111" spans="1:28" s="143" customFormat="1" x14ac:dyDescent="0.25">
      <c r="A111" s="142"/>
      <c r="C111" s="153" t="s">
        <v>175</v>
      </c>
      <c r="D111" s="144"/>
      <c r="E111" s="141"/>
      <c r="F111" s="106"/>
      <c r="J111" s="116"/>
      <c r="M111" s="105">
        <f t="shared" si="28"/>
        <v>0</v>
      </c>
      <c r="N111" s="106">
        <f t="shared" si="18"/>
        <v>0</v>
      </c>
      <c r="O111" s="116">
        <f t="shared" si="27"/>
        <v>0</v>
      </c>
      <c r="P111" s="105">
        <f t="shared" si="21"/>
        <v>0</v>
      </c>
      <c r="Q111" s="99"/>
      <c r="S111" s="116">
        <f t="shared" si="19"/>
        <v>0</v>
      </c>
      <c r="W111" s="105">
        <f t="shared" si="25"/>
        <v>0</v>
      </c>
      <c r="Y111" s="116">
        <f t="shared" si="14"/>
        <v>0</v>
      </c>
      <c r="AA111" s="122" t="b">
        <f t="shared" si="24"/>
        <v>1</v>
      </c>
      <c r="AB111" s="159" t="s">
        <v>175</v>
      </c>
    </row>
    <row r="112" spans="1:28" x14ac:dyDescent="0.25">
      <c r="A112" s="97" t="s">
        <v>165</v>
      </c>
      <c r="B112" s="143" t="s">
        <v>176</v>
      </c>
      <c r="C112" s="160" t="s">
        <v>177</v>
      </c>
      <c r="D112" s="132"/>
      <c r="E112" s="106"/>
      <c r="F112" s="106"/>
      <c r="H112" s="99" t="s">
        <v>70</v>
      </c>
      <c r="I112" s="99" t="str">
        <f t="shared" ref="I112:J115" si="29">+C112</f>
        <v>Papel de escritorio</v>
      </c>
      <c r="J112" s="105">
        <f t="shared" si="29"/>
        <v>0</v>
      </c>
      <c r="M112" s="105">
        <f t="shared" si="28"/>
        <v>0</v>
      </c>
      <c r="N112" s="106">
        <f t="shared" si="18"/>
        <v>0</v>
      </c>
      <c r="O112" s="105">
        <f t="shared" si="27"/>
        <v>0</v>
      </c>
      <c r="P112" s="105">
        <f t="shared" si="21"/>
        <v>0</v>
      </c>
      <c r="S112" s="105">
        <f t="shared" si="19"/>
        <v>0</v>
      </c>
      <c r="W112" s="105">
        <f t="shared" si="25"/>
        <v>0</v>
      </c>
      <c r="Y112" s="105">
        <f t="shared" si="14"/>
        <v>0</v>
      </c>
      <c r="AA112" s="122" t="b">
        <f t="shared" si="24"/>
        <v>1</v>
      </c>
      <c r="AB112" s="160" t="s">
        <v>177</v>
      </c>
    </row>
    <row r="113" spans="1:28" x14ac:dyDescent="0.25">
      <c r="A113" s="97" t="s">
        <v>165</v>
      </c>
      <c r="B113" s="143" t="s">
        <v>178</v>
      </c>
      <c r="C113" s="160" t="s">
        <v>179</v>
      </c>
      <c r="D113" s="132"/>
      <c r="E113" s="106"/>
      <c r="F113" s="106"/>
      <c r="H113" s="99" t="s">
        <v>70</v>
      </c>
      <c r="I113" s="99" t="str">
        <f t="shared" si="29"/>
        <v>Productos de papel y cartón</v>
      </c>
      <c r="J113" s="105">
        <f t="shared" si="29"/>
        <v>0</v>
      </c>
      <c r="M113" s="105">
        <f t="shared" si="28"/>
        <v>0</v>
      </c>
      <c r="N113" s="106">
        <f t="shared" si="18"/>
        <v>0</v>
      </c>
      <c r="O113" s="105">
        <f t="shared" si="27"/>
        <v>0</v>
      </c>
      <c r="P113" s="105">
        <f t="shared" si="21"/>
        <v>0</v>
      </c>
      <c r="S113" s="105">
        <f t="shared" si="19"/>
        <v>0</v>
      </c>
      <c r="W113" s="105">
        <f t="shared" si="25"/>
        <v>0</v>
      </c>
      <c r="Y113" s="105">
        <f t="shared" si="14"/>
        <v>0</v>
      </c>
      <c r="AA113" s="122" t="b">
        <f t="shared" si="24"/>
        <v>1</v>
      </c>
      <c r="AB113" s="160" t="s">
        <v>179</v>
      </c>
    </row>
    <row r="114" spans="1:28" x14ac:dyDescent="0.25">
      <c r="A114" s="97" t="s">
        <v>165</v>
      </c>
      <c r="B114" s="143" t="s">
        <v>180</v>
      </c>
      <c r="C114" s="160" t="s">
        <v>181</v>
      </c>
      <c r="D114" s="132"/>
      <c r="E114" s="106"/>
      <c r="F114" s="106"/>
      <c r="H114" s="99" t="s">
        <v>70</v>
      </c>
      <c r="I114" s="99" t="str">
        <f t="shared" si="29"/>
        <v>Productos de artes gráficas</v>
      </c>
      <c r="J114" s="105">
        <f t="shared" si="29"/>
        <v>0</v>
      </c>
      <c r="M114" s="105">
        <f t="shared" si="28"/>
        <v>0</v>
      </c>
      <c r="N114" s="106">
        <f t="shared" si="18"/>
        <v>0</v>
      </c>
      <c r="O114" s="105">
        <f t="shared" si="27"/>
        <v>0</v>
      </c>
      <c r="P114" s="105">
        <f t="shared" si="21"/>
        <v>0</v>
      </c>
      <c r="S114" s="105">
        <f t="shared" si="19"/>
        <v>0</v>
      </c>
      <c r="W114" s="105">
        <f t="shared" si="25"/>
        <v>0</v>
      </c>
      <c r="Y114" s="105">
        <f t="shared" si="14"/>
        <v>0</v>
      </c>
      <c r="AA114" s="122" t="b">
        <f t="shared" si="24"/>
        <v>1</v>
      </c>
      <c r="AB114" s="160" t="s">
        <v>181</v>
      </c>
    </row>
    <row r="115" spans="1:28" x14ac:dyDescent="0.25">
      <c r="A115" s="97" t="s">
        <v>93</v>
      </c>
      <c r="B115" s="143" t="s">
        <v>182</v>
      </c>
      <c r="C115" s="160" t="s">
        <v>183</v>
      </c>
      <c r="D115" s="132"/>
      <c r="E115" s="106"/>
      <c r="F115" s="106"/>
      <c r="H115" s="99" t="s">
        <v>70</v>
      </c>
      <c r="I115" s="99" t="str">
        <f t="shared" si="29"/>
        <v>Productos medicinales para uso humano</v>
      </c>
      <c r="J115" s="105">
        <f t="shared" si="29"/>
        <v>0</v>
      </c>
      <c r="M115" s="105">
        <f t="shared" si="28"/>
        <v>0</v>
      </c>
      <c r="N115" s="106">
        <f t="shared" si="18"/>
        <v>0</v>
      </c>
      <c r="O115" s="105">
        <f t="shared" si="27"/>
        <v>0</v>
      </c>
      <c r="P115" s="105"/>
      <c r="Q115" s="105"/>
      <c r="S115" s="105">
        <f t="shared" si="19"/>
        <v>0</v>
      </c>
      <c r="U115" s="105">
        <f>+O115</f>
        <v>0</v>
      </c>
      <c r="V115" s="105"/>
      <c r="W115" s="105">
        <f t="shared" si="25"/>
        <v>0</v>
      </c>
      <c r="Y115" s="105">
        <f t="shared" si="14"/>
        <v>0</v>
      </c>
      <c r="AA115" s="122" t="b">
        <f t="shared" si="24"/>
        <v>1</v>
      </c>
      <c r="AB115" s="160" t="s">
        <v>183</v>
      </c>
    </row>
    <row r="116" spans="1:28" s="143" customFormat="1" x14ac:dyDescent="0.25">
      <c r="A116" s="142"/>
      <c r="C116" s="153" t="s">
        <v>184</v>
      </c>
      <c r="D116" s="144"/>
      <c r="E116" s="141"/>
      <c r="F116" s="106"/>
      <c r="J116" s="116"/>
      <c r="M116" s="105">
        <f t="shared" si="28"/>
        <v>0</v>
      </c>
      <c r="N116" s="106">
        <f t="shared" si="18"/>
        <v>0</v>
      </c>
      <c r="O116" s="116">
        <f t="shared" si="27"/>
        <v>0</v>
      </c>
      <c r="P116" s="116"/>
      <c r="Q116" s="116"/>
      <c r="S116" s="116">
        <f t="shared" si="19"/>
        <v>0</v>
      </c>
      <c r="W116" s="105">
        <f t="shared" si="25"/>
        <v>0</v>
      </c>
      <c r="Y116" s="116">
        <f t="shared" si="14"/>
        <v>0</v>
      </c>
      <c r="AA116" s="122" t="b">
        <f t="shared" si="24"/>
        <v>1</v>
      </c>
      <c r="AB116" s="159" t="s">
        <v>184</v>
      </c>
    </row>
    <row r="117" spans="1:28" x14ac:dyDescent="0.25">
      <c r="A117" s="97" t="s">
        <v>165</v>
      </c>
      <c r="B117" s="143" t="s">
        <v>185</v>
      </c>
      <c r="C117" s="160" t="s">
        <v>186</v>
      </c>
      <c r="D117" s="132"/>
      <c r="E117" s="106"/>
      <c r="F117" s="106"/>
      <c r="H117" s="99" t="s">
        <v>70</v>
      </c>
      <c r="I117" s="99" t="str">
        <f t="shared" ref="I117:J121" si="30">+C117</f>
        <v>Artículos de cuero</v>
      </c>
      <c r="J117" s="105">
        <f t="shared" si="30"/>
        <v>0</v>
      </c>
      <c r="M117" s="105">
        <f t="shared" si="28"/>
        <v>0</v>
      </c>
      <c r="N117" s="106">
        <f t="shared" si="18"/>
        <v>0</v>
      </c>
      <c r="O117" s="105">
        <f t="shared" si="27"/>
        <v>0</v>
      </c>
      <c r="P117" s="105"/>
      <c r="Q117" s="105"/>
      <c r="S117" s="105">
        <f t="shared" si="19"/>
        <v>0</v>
      </c>
      <c r="W117" s="105">
        <f t="shared" si="25"/>
        <v>0</v>
      </c>
      <c r="Y117" s="105">
        <f t="shared" si="14"/>
        <v>0</v>
      </c>
      <c r="AA117" s="122" t="b">
        <f t="shared" si="24"/>
        <v>1</v>
      </c>
      <c r="AB117" s="160" t="s">
        <v>186</v>
      </c>
    </row>
    <row r="118" spans="1:28" x14ac:dyDescent="0.25">
      <c r="A118" s="97" t="s">
        <v>165</v>
      </c>
      <c r="B118" s="143" t="e">
        <v>#N/A</v>
      </c>
      <c r="C118" s="160" t="s">
        <v>187</v>
      </c>
      <c r="D118" s="132"/>
      <c r="E118" s="106"/>
      <c r="F118" s="106"/>
      <c r="I118" s="99" t="str">
        <f t="shared" si="30"/>
        <v>Libros, revistas y periódicos</v>
      </c>
      <c r="J118" s="105">
        <f t="shared" si="30"/>
        <v>0</v>
      </c>
      <c r="M118" s="105">
        <f t="shared" si="28"/>
        <v>0</v>
      </c>
      <c r="N118" s="106">
        <f t="shared" si="18"/>
        <v>0</v>
      </c>
      <c r="O118" s="105">
        <f t="shared" si="27"/>
        <v>0</v>
      </c>
      <c r="P118" s="105"/>
      <c r="Q118" s="105"/>
      <c r="S118" s="105">
        <f t="shared" si="19"/>
        <v>0</v>
      </c>
      <c r="W118" s="105">
        <f t="shared" si="25"/>
        <v>0</v>
      </c>
      <c r="Y118" s="105">
        <f t="shared" si="14"/>
        <v>0</v>
      </c>
      <c r="AA118" s="122" t="b">
        <f t="shared" si="24"/>
        <v>1</v>
      </c>
      <c r="AB118" s="160" t="s">
        <v>187</v>
      </c>
    </row>
    <row r="119" spans="1:28" x14ac:dyDescent="0.25">
      <c r="A119" s="97" t="s">
        <v>165</v>
      </c>
      <c r="B119" s="143" t="s">
        <v>188</v>
      </c>
      <c r="C119" s="160" t="s">
        <v>189</v>
      </c>
      <c r="D119" s="132"/>
      <c r="E119" s="106"/>
      <c r="F119" s="106"/>
      <c r="H119" s="99" t="s">
        <v>70</v>
      </c>
      <c r="I119" s="99" t="str">
        <f t="shared" si="30"/>
        <v>Llantas y neumáticos</v>
      </c>
      <c r="J119" s="105">
        <f t="shared" si="30"/>
        <v>0</v>
      </c>
      <c r="M119" s="105">
        <f t="shared" si="28"/>
        <v>0</v>
      </c>
      <c r="N119" s="106">
        <f t="shared" si="18"/>
        <v>0</v>
      </c>
      <c r="O119" s="105">
        <f t="shared" si="27"/>
        <v>0</v>
      </c>
      <c r="P119" s="105"/>
      <c r="Q119" s="105"/>
      <c r="S119" s="105">
        <f t="shared" si="19"/>
        <v>0</v>
      </c>
      <c r="W119" s="105">
        <f t="shared" si="25"/>
        <v>0</v>
      </c>
      <c r="Y119" s="105">
        <f t="shared" si="14"/>
        <v>0</v>
      </c>
      <c r="AA119" s="122" t="b">
        <f t="shared" si="24"/>
        <v>1</v>
      </c>
      <c r="AB119" s="160" t="s">
        <v>189</v>
      </c>
    </row>
    <row r="120" spans="1:28" x14ac:dyDescent="0.25">
      <c r="A120" s="97" t="s">
        <v>165</v>
      </c>
      <c r="B120" s="143" t="s">
        <v>190</v>
      </c>
      <c r="C120" s="160" t="s">
        <v>191</v>
      </c>
      <c r="D120" s="132"/>
      <c r="E120" s="106"/>
      <c r="F120" s="106"/>
      <c r="H120" s="99" t="s">
        <v>70</v>
      </c>
      <c r="I120" s="99" t="str">
        <f t="shared" si="30"/>
        <v>Artículos de caucho</v>
      </c>
      <c r="J120" s="105">
        <f t="shared" si="30"/>
        <v>0</v>
      </c>
      <c r="M120" s="105">
        <f t="shared" si="28"/>
        <v>0</v>
      </c>
      <c r="N120" s="106">
        <f t="shared" si="18"/>
        <v>0</v>
      </c>
      <c r="O120" s="105">
        <f t="shared" si="27"/>
        <v>0</v>
      </c>
      <c r="P120" s="105"/>
      <c r="Q120" s="105"/>
      <c r="S120" s="105">
        <f t="shared" si="19"/>
        <v>0</v>
      </c>
      <c r="W120" s="105">
        <f t="shared" si="25"/>
        <v>0</v>
      </c>
      <c r="Y120" s="105">
        <f t="shared" si="14"/>
        <v>0</v>
      </c>
      <c r="AA120" s="122" t="b">
        <f t="shared" si="24"/>
        <v>1</v>
      </c>
      <c r="AB120" s="160" t="s">
        <v>191</v>
      </c>
    </row>
    <row r="121" spans="1:28" x14ac:dyDescent="0.25">
      <c r="A121" s="97" t="s">
        <v>165</v>
      </c>
      <c r="B121" s="143" t="s">
        <v>192</v>
      </c>
      <c r="C121" s="160" t="s">
        <v>193</v>
      </c>
      <c r="D121" s="132"/>
      <c r="E121" s="106"/>
      <c r="F121" s="106"/>
      <c r="H121" s="99" t="s">
        <v>70</v>
      </c>
      <c r="I121" s="99" t="str">
        <f t="shared" si="30"/>
        <v>Artículos de plástico</v>
      </c>
      <c r="J121" s="105">
        <f t="shared" si="30"/>
        <v>0</v>
      </c>
      <c r="M121" s="105">
        <f t="shared" si="28"/>
        <v>0</v>
      </c>
      <c r="N121" s="106">
        <f t="shared" si="18"/>
        <v>0</v>
      </c>
      <c r="O121" s="105">
        <f t="shared" si="27"/>
        <v>0</v>
      </c>
      <c r="P121" s="105"/>
      <c r="Q121" s="105"/>
      <c r="S121" s="105">
        <f t="shared" si="19"/>
        <v>0</v>
      </c>
      <c r="W121" s="105">
        <f t="shared" si="25"/>
        <v>0</v>
      </c>
      <c r="Y121" s="105">
        <f t="shared" si="14"/>
        <v>0</v>
      </c>
      <c r="AA121" s="122" t="b">
        <f t="shared" si="24"/>
        <v>1</v>
      </c>
      <c r="AB121" s="160" t="s">
        <v>193</v>
      </c>
    </row>
    <row r="122" spans="1:28" s="143" customFormat="1" x14ac:dyDescent="0.25">
      <c r="A122" s="142"/>
      <c r="C122" s="153" t="s">
        <v>194</v>
      </c>
      <c r="D122" s="144"/>
      <c r="E122" s="141"/>
      <c r="F122" s="106"/>
      <c r="J122" s="116"/>
      <c r="M122" s="105">
        <f t="shared" si="28"/>
        <v>0</v>
      </c>
      <c r="N122" s="106">
        <f t="shared" si="18"/>
        <v>0</v>
      </c>
      <c r="O122" s="116">
        <f t="shared" si="27"/>
        <v>0</v>
      </c>
      <c r="P122" s="116"/>
      <c r="Q122" s="116"/>
      <c r="S122" s="116">
        <f t="shared" si="19"/>
        <v>0</v>
      </c>
      <c r="W122" s="105">
        <f t="shared" si="25"/>
        <v>0</v>
      </c>
      <c r="Y122" s="116">
        <f t="shared" si="14"/>
        <v>0</v>
      </c>
      <c r="AA122" s="122" t="b">
        <f t="shared" si="24"/>
        <v>1</v>
      </c>
      <c r="AB122" s="159" t="s">
        <v>194</v>
      </c>
    </row>
    <row r="123" spans="1:28" x14ac:dyDescent="0.25">
      <c r="A123" s="97" t="s">
        <v>165</v>
      </c>
      <c r="B123" s="143" t="s">
        <v>195</v>
      </c>
      <c r="C123" s="160" t="s">
        <v>196</v>
      </c>
      <c r="D123" s="132"/>
      <c r="E123" s="106"/>
      <c r="F123" s="106"/>
      <c r="H123" s="99" t="s">
        <v>70</v>
      </c>
      <c r="I123" s="99" t="str">
        <f t="shared" ref="I123:J131" si="31">+C123</f>
        <v>Productos de cemento</v>
      </c>
      <c r="J123" s="105">
        <f t="shared" si="31"/>
        <v>0</v>
      </c>
      <c r="M123" s="105">
        <f t="shared" si="28"/>
        <v>0</v>
      </c>
      <c r="N123" s="106">
        <f t="shared" si="18"/>
        <v>0</v>
      </c>
      <c r="O123" s="105">
        <f t="shared" si="27"/>
        <v>0</v>
      </c>
      <c r="P123" s="105"/>
      <c r="Q123" s="105"/>
      <c r="S123" s="105">
        <f t="shared" si="19"/>
        <v>0</v>
      </c>
      <c r="W123" s="105">
        <f t="shared" si="25"/>
        <v>0</v>
      </c>
      <c r="Y123" s="105">
        <f t="shared" si="14"/>
        <v>0</v>
      </c>
      <c r="AA123" s="122" t="b">
        <f t="shared" si="24"/>
        <v>1</v>
      </c>
      <c r="AB123" s="160" t="s">
        <v>196</v>
      </c>
    </row>
    <row r="124" spans="1:28" x14ac:dyDescent="0.25">
      <c r="A124" s="97" t="s">
        <v>165</v>
      </c>
      <c r="B124" s="143" t="s">
        <v>197</v>
      </c>
      <c r="C124" s="160" t="s">
        <v>198</v>
      </c>
      <c r="D124" s="132"/>
      <c r="E124" s="106"/>
      <c r="F124" s="106"/>
      <c r="H124" s="99" t="s">
        <v>70</v>
      </c>
      <c r="I124" s="99" t="str">
        <f t="shared" si="31"/>
        <v>Productos de yeso</v>
      </c>
      <c r="J124" s="105">
        <f t="shared" si="31"/>
        <v>0</v>
      </c>
      <c r="M124" s="105">
        <f t="shared" si="28"/>
        <v>0</v>
      </c>
      <c r="N124" s="106">
        <f t="shared" si="18"/>
        <v>0</v>
      </c>
      <c r="O124" s="105">
        <f t="shared" si="27"/>
        <v>0</v>
      </c>
      <c r="P124" s="105"/>
      <c r="Q124" s="105"/>
      <c r="S124" s="105">
        <f t="shared" si="19"/>
        <v>0</v>
      </c>
      <c r="W124" s="105">
        <f t="shared" si="25"/>
        <v>0</v>
      </c>
      <c r="Y124" s="105">
        <f t="shared" si="14"/>
        <v>0</v>
      </c>
      <c r="AA124" s="122" t="b">
        <f t="shared" si="24"/>
        <v>1</v>
      </c>
      <c r="AB124" s="160" t="s">
        <v>198</v>
      </c>
    </row>
    <row r="125" spans="1:28" x14ac:dyDescent="0.25">
      <c r="A125" s="97" t="s">
        <v>165</v>
      </c>
      <c r="B125" s="143" t="s">
        <v>199</v>
      </c>
      <c r="C125" s="160" t="s">
        <v>200</v>
      </c>
      <c r="D125" s="132"/>
      <c r="E125" s="106"/>
      <c r="F125" s="106"/>
      <c r="H125" s="99" t="s">
        <v>70</v>
      </c>
      <c r="I125" s="99" t="str">
        <f t="shared" si="31"/>
        <v>Productos de vidrio</v>
      </c>
      <c r="J125" s="105">
        <f t="shared" si="31"/>
        <v>0</v>
      </c>
      <c r="M125" s="105">
        <f t="shared" si="28"/>
        <v>0</v>
      </c>
      <c r="N125" s="106">
        <f t="shared" si="18"/>
        <v>0</v>
      </c>
      <c r="O125" s="105">
        <f t="shared" si="27"/>
        <v>0</v>
      </c>
      <c r="P125" s="105"/>
      <c r="Q125" s="105"/>
      <c r="S125" s="105">
        <f t="shared" si="19"/>
        <v>0</v>
      </c>
      <c r="W125" s="105">
        <f t="shared" si="25"/>
        <v>0</v>
      </c>
      <c r="Y125" s="105">
        <f t="shared" ref="Y125:Y152" si="32">SUM(T125:X125)-O125</f>
        <v>0</v>
      </c>
      <c r="AA125" s="122" t="b">
        <f t="shared" si="24"/>
        <v>1</v>
      </c>
      <c r="AB125" s="160" t="s">
        <v>200</v>
      </c>
    </row>
    <row r="126" spans="1:28" x14ac:dyDescent="0.25">
      <c r="A126" s="97" t="s">
        <v>165</v>
      </c>
      <c r="B126" s="143" t="s">
        <v>201</v>
      </c>
      <c r="C126" s="160" t="s">
        <v>202</v>
      </c>
      <c r="D126" s="132"/>
      <c r="E126" s="106"/>
      <c r="F126" s="106"/>
      <c r="H126" s="99" t="s">
        <v>70</v>
      </c>
      <c r="I126" s="99" t="str">
        <f t="shared" si="31"/>
        <v>Productos ferrosos</v>
      </c>
      <c r="J126" s="105">
        <f t="shared" si="31"/>
        <v>0</v>
      </c>
      <c r="M126" s="105">
        <f t="shared" si="28"/>
        <v>0</v>
      </c>
      <c r="N126" s="106">
        <f t="shared" si="18"/>
        <v>0</v>
      </c>
      <c r="O126" s="105">
        <f t="shared" si="27"/>
        <v>0</v>
      </c>
      <c r="P126" s="105"/>
      <c r="Q126" s="105"/>
      <c r="S126" s="105">
        <f t="shared" si="19"/>
        <v>0</v>
      </c>
      <c r="W126" s="105">
        <f t="shared" si="25"/>
        <v>0</v>
      </c>
      <c r="Y126" s="105">
        <f t="shared" si="32"/>
        <v>0</v>
      </c>
      <c r="AA126" s="122" t="b">
        <f t="shared" si="24"/>
        <v>1</v>
      </c>
      <c r="AB126" s="160" t="s">
        <v>202</v>
      </c>
    </row>
    <row r="127" spans="1:28" x14ac:dyDescent="0.25">
      <c r="A127" s="97" t="s">
        <v>165</v>
      </c>
      <c r="B127" s="143" t="s">
        <v>203</v>
      </c>
      <c r="C127" s="160" t="s">
        <v>204</v>
      </c>
      <c r="D127" s="132"/>
      <c r="E127" s="106"/>
      <c r="F127" s="106"/>
      <c r="H127" s="99" t="s">
        <v>70</v>
      </c>
      <c r="I127" s="99" t="str">
        <f t="shared" si="31"/>
        <v>Productos no ferrosos</v>
      </c>
      <c r="J127" s="105">
        <f t="shared" si="31"/>
        <v>0</v>
      </c>
      <c r="M127" s="105">
        <f t="shared" si="28"/>
        <v>0</v>
      </c>
      <c r="N127" s="106">
        <f t="shared" si="18"/>
        <v>0</v>
      </c>
      <c r="O127" s="105">
        <f t="shared" si="27"/>
        <v>0</v>
      </c>
      <c r="P127" s="105"/>
      <c r="Q127" s="105"/>
      <c r="S127" s="105">
        <f t="shared" ref="S127:S159" si="33">SUM(N127:R127)</f>
        <v>0</v>
      </c>
      <c r="W127" s="105">
        <f t="shared" si="25"/>
        <v>0</v>
      </c>
      <c r="Y127" s="105">
        <f t="shared" si="32"/>
        <v>0</v>
      </c>
      <c r="AA127" s="122" t="b">
        <f t="shared" si="24"/>
        <v>1</v>
      </c>
      <c r="AB127" s="160" t="s">
        <v>204</v>
      </c>
    </row>
    <row r="128" spans="1:28" x14ac:dyDescent="0.25">
      <c r="A128" s="97" t="s">
        <v>165</v>
      </c>
      <c r="B128" s="143" t="e">
        <v>#N/A</v>
      </c>
      <c r="C128" s="160" t="s">
        <v>205</v>
      </c>
      <c r="D128" s="132"/>
      <c r="E128" s="106"/>
      <c r="F128" s="106"/>
      <c r="I128" s="99" t="str">
        <f t="shared" si="31"/>
        <v>Herramientas menores</v>
      </c>
      <c r="J128" s="105">
        <f t="shared" si="31"/>
        <v>0</v>
      </c>
      <c r="M128" s="105">
        <f t="shared" si="28"/>
        <v>0</v>
      </c>
      <c r="N128" s="106">
        <f t="shared" si="18"/>
        <v>0</v>
      </c>
      <c r="O128" s="105">
        <f t="shared" si="27"/>
        <v>0</v>
      </c>
      <c r="P128" s="105"/>
      <c r="Q128" s="105"/>
      <c r="S128" s="105">
        <f t="shared" si="33"/>
        <v>0</v>
      </c>
      <c r="W128" s="105">
        <f t="shared" si="25"/>
        <v>0</v>
      </c>
      <c r="Y128" s="105">
        <f t="shared" si="32"/>
        <v>0</v>
      </c>
      <c r="AA128" s="122" t="b">
        <f t="shared" si="24"/>
        <v>1</v>
      </c>
      <c r="AB128" s="160" t="s">
        <v>205</v>
      </c>
    </row>
    <row r="129" spans="1:28" x14ac:dyDescent="0.25">
      <c r="A129" s="97" t="s">
        <v>165</v>
      </c>
      <c r="B129" s="143" t="e">
        <v>#N/A</v>
      </c>
      <c r="C129" s="160" t="s">
        <v>206</v>
      </c>
      <c r="D129" s="132"/>
      <c r="E129" s="106"/>
      <c r="F129" s="106"/>
      <c r="I129" s="99" t="str">
        <f t="shared" si="31"/>
        <v>Productos de hojalata</v>
      </c>
      <c r="J129" s="105">
        <f t="shared" si="31"/>
        <v>0</v>
      </c>
      <c r="M129" s="105">
        <f t="shared" si="28"/>
        <v>0</v>
      </c>
      <c r="N129" s="106">
        <f t="shared" si="18"/>
        <v>0</v>
      </c>
      <c r="O129" s="105">
        <f t="shared" si="27"/>
        <v>0</v>
      </c>
      <c r="P129" s="105"/>
      <c r="Q129" s="105"/>
      <c r="S129" s="105">
        <f t="shared" si="33"/>
        <v>0</v>
      </c>
      <c r="W129" s="105">
        <f t="shared" si="25"/>
        <v>0</v>
      </c>
      <c r="Y129" s="105">
        <f t="shared" si="32"/>
        <v>0</v>
      </c>
      <c r="AA129" s="122" t="b">
        <f t="shared" si="24"/>
        <v>1</v>
      </c>
      <c r="AB129" s="160" t="s">
        <v>206</v>
      </c>
    </row>
    <row r="130" spans="1:28" x14ac:dyDescent="0.25">
      <c r="A130" s="97" t="s">
        <v>165</v>
      </c>
      <c r="B130" s="143" t="s">
        <v>207</v>
      </c>
      <c r="C130" s="160" t="s">
        <v>208</v>
      </c>
      <c r="D130" s="132"/>
      <c r="E130" s="106"/>
      <c r="F130" s="106"/>
      <c r="H130" s="99" t="s">
        <v>70</v>
      </c>
      <c r="I130" s="99" t="str">
        <f t="shared" si="31"/>
        <v>Accesorios de metal</v>
      </c>
      <c r="J130" s="105">
        <f t="shared" si="31"/>
        <v>0</v>
      </c>
      <c r="M130" s="105">
        <f t="shared" si="28"/>
        <v>0</v>
      </c>
      <c r="N130" s="106">
        <f t="shared" si="18"/>
        <v>0</v>
      </c>
      <c r="O130" s="105">
        <f t="shared" si="27"/>
        <v>0</v>
      </c>
      <c r="P130" s="105"/>
      <c r="Q130" s="105"/>
      <c r="S130" s="105">
        <f t="shared" si="33"/>
        <v>0</v>
      </c>
      <c r="W130" s="105">
        <f t="shared" si="25"/>
        <v>0</v>
      </c>
      <c r="Y130" s="105">
        <f t="shared" si="32"/>
        <v>0</v>
      </c>
      <c r="AA130" s="122" t="b">
        <f t="shared" si="24"/>
        <v>1</v>
      </c>
      <c r="AB130" s="160" t="s">
        <v>208</v>
      </c>
    </row>
    <row r="131" spans="1:28" x14ac:dyDescent="0.25">
      <c r="A131" s="97" t="s">
        <v>165</v>
      </c>
      <c r="B131" s="143" t="e">
        <v>#N/A</v>
      </c>
      <c r="C131" s="160" t="s">
        <v>209</v>
      </c>
      <c r="D131" s="132"/>
      <c r="E131" s="106"/>
      <c r="F131" s="106"/>
      <c r="I131" s="99" t="str">
        <f t="shared" si="31"/>
        <v>Piedra, arcilla y arena</v>
      </c>
      <c r="J131" s="105">
        <f t="shared" si="31"/>
        <v>0</v>
      </c>
      <c r="M131" s="105">
        <f t="shared" si="28"/>
        <v>0</v>
      </c>
      <c r="N131" s="106">
        <f t="shared" si="18"/>
        <v>0</v>
      </c>
      <c r="O131" s="105">
        <f t="shared" si="27"/>
        <v>0</v>
      </c>
      <c r="P131" s="105"/>
      <c r="Q131" s="105"/>
      <c r="S131" s="105">
        <f t="shared" si="33"/>
        <v>0</v>
      </c>
      <c r="W131" s="105">
        <f t="shared" si="25"/>
        <v>0</v>
      </c>
      <c r="Y131" s="105">
        <f t="shared" si="32"/>
        <v>0</v>
      </c>
      <c r="AA131" s="122" t="b">
        <f t="shared" si="24"/>
        <v>1</v>
      </c>
      <c r="AB131" s="160" t="s">
        <v>209</v>
      </c>
    </row>
    <row r="132" spans="1:28" s="143" customFormat="1" x14ac:dyDescent="0.25">
      <c r="A132" s="142"/>
      <c r="C132" s="153" t="s">
        <v>210</v>
      </c>
      <c r="D132" s="144"/>
      <c r="E132" s="141"/>
      <c r="F132" s="106"/>
      <c r="J132" s="116"/>
      <c r="M132" s="105">
        <f t="shared" si="28"/>
        <v>0</v>
      </c>
      <c r="N132" s="106">
        <f t="shared" si="18"/>
        <v>0</v>
      </c>
      <c r="O132" s="116">
        <f t="shared" si="27"/>
        <v>0</v>
      </c>
      <c r="P132" s="116"/>
      <c r="Q132" s="116"/>
      <c r="S132" s="116">
        <f t="shared" si="33"/>
        <v>0</v>
      </c>
      <c r="W132" s="105">
        <f t="shared" si="25"/>
        <v>0</v>
      </c>
      <c r="Y132" s="116">
        <f t="shared" si="32"/>
        <v>0</v>
      </c>
      <c r="AA132" s="122" t="b">
        <f t="shared" si="24"/>
        <v>1</v>
      </c>
      <c r="AB132" s="159" t="s">
        <v>210</v>
      </c>
    </row>
    <row r="133" spans="1:28" x14ac:dyDescent="0.25">
      <c r="A133" s="97" t="s">
        <v>165</v>
      </c>
      <c r="B133" s="143" t="s">
        <v>211</v>
      </c>
      <c r="C133" s="160" t="s">
        <v>212</v>
      </c>
      <c r="D133" s="132"/>
      <c r="E133" s="106"/>
      <c r="F133" s="106"/>
      <c r="H133" s="99" t="s">
        <v>70</v>
      </c>
      <c r="I133" s="99" t="str">
        <f t="shared" ref="I133:J148" si="34">+C133</f>
        <v>Gasolina</v>
      </c>
      <c r="J133" s="105">
        <f t="shared" si="34"/>
        <v>0</v>
      </c>
      <c r="M133" s="105">
        <f t="shared" si="28"/>
        <v>0</v>
      </c>
      <c r="N133" s="106">
        <f t="shared" si="18"/>
        <v>0</v>
      </c>
      <c r="O133" s="105">
        <f t="shared" si="27"/>
        <v>0</v>
      </c>
      <c r="P133" s="105"/>
      <c r="Q133" s="105"/>
      <c r="S133" s="105">
        <f t="shared" si="33"/>
        <v>0</v>
      </c>
      <c r="W133" s="105">
        <f t="shared" si="25"/>
        <v>0</v>
      </c>
      <c r="Y133" s="105">
        <f t="shared" si="32"/>
        <v>0</v>
      </c>
      <c r="AA133" s="122" t="b">
        <f t="shared" si="24"/>
        <v>1</v>
      </c>
      <c r="AB133" s="160" t="s">
        <v>212</v>
      </c>
    </row>
    <row r="134" spans="1:28" x14ac:dyDescent="0.25">
      <c r="A134" s="97" t="s">
        <v>165</v>
      </c>
      <c r="B134" s="143" t="s">
        <v>213</v>
      </c>
      <c r="C134" s="160" t="s">
        <v>214</v>
      </c>
      <c r="D134" s="132"/>
      <c r="E134" s="106"/>
      <c r="F134" s="106"/>
      <c r="H134" s="99" t="s">
        <v>70</v>
      </c>
      <c r="I134" s="99" t="str">
        <f t="shared" si="34"/>
        <v>Gasoil</v>
      </c>
      <c r="J134" s="105">
        <f t="shared" si="34"/>
        <v>0</v>
      </c>
      <c r="M134" s="105">
        <f t="shared" si="28"/>
        <v>0</v>
      </c>
      <c r="N134" s="106">
        <f t="shared" si="18"/>
        <v>0</v>
      </c>
      <c r="O134" s="105">
        <f t="shared" si="27"/>
        <v>0</v>
      </c>
      <c r="P134" s="105"/>
      <c r="Q134" s="105"/>
      <c r="S134" s="105">
        <f t="shared" si="33"/>
        <v>0</v>
      </c>
      <c r="W134" s="105">
        <f t="shared" si="25"/>
        <v>0</v>
      </c>
      <c r="Y134" s="105">
        <f t="shared" si="32"/>
        <v>0</v>
      </c>
      <c r="AA134" s="122" t="b">
        <f t="shared" si="24"/>
        <v>1</v>
      </c>
      <c r="AB134" s="160" t="s">
        <v>214</v>
      </c>
    </row>
    <row r="135" spans="1:28" x14ac:dyDescent="0.25">
      <c r="A135" s="97" t="s">
        <v>165</v>
      </c>
      <c r="B135" s="143" t="e">
        <v>#N/A</v>
      </c>
      <c r="C135" s="160" t="s">
        <v>215</v>
      </c>
      <c r="D135" s="132"/>
      <c r="E135" s="106"/>
      <c r="F135" s="106"/>
      <c r="I135" s="99" t="str">
        <f t="shared" si="34"/>
        <v>Aceites y grasas</v>
      </c>
      <c r="J135" s="105">
        <f t="shared" si="34"/>
        <v>0</v>
      </c>
      <c r="M135" s="105">
        <f t="shared" si="28"/>
        <v>0</v>
      </c>
      <c r="N135" s="106">
        <f t="shared" si="18"/>
        <v>0</v>
      </c>
      <c r="O135" s="105">
        <f t="shared" si="27"/>
        <v>0</v>
      </c>
      <c r="P135" s="105"/>
      <c r="Q135" s="105"/>
      <c r="S135" s="105">
        <f t="shared" si="33"/>
        <v>0</v>
      </c>
      <c r="W135" s="105">
        <f t="shared" si="25"/>
        <v>0</v>
      </c>
      <c r="Y135" s="105">
        <f t="shared" si="32"/>
        <v>0</v>
      </c>
      <c r="AA135" s="122" t="b">
        <f t="shared" si="24"/>
        <v>1</v>
      </c>
      <c r="AB135" s="160" t="s">
        <v>215</v>
      </c>
    </row>
    <row r="136" spans="1:28" x14ac:dyDescent="0.25">
      <c r="A136" s="97" t="s">
        <v>165</v>
      </c>
      <c r="B136" s="143" t="s">
        <v>216</v>
      </c>
      <c r="C136" s="160" t="s">
        <v>217</v>
      </c>
      <c r="D136" s="132"/>
      <c r="E136" s="106"/>
      <c r="F136" s="106"/>
      <c r="H136" s="99" t="s">
        <v>70</v>
      </c>
      <c r="I136" s="99" t="str">
        <f t="shared" si="34"/>
        <v>Productos químicos de laboratorio y de uso personal</v>
      </c>
      <c r="J136" s="105">
        <f t="shared" si="34"/>
        <v>0</v>
      </c>
      <c r="M136" s="105">
        <f t="shared" si="28"/>
        <v>0</v>
      </c>
      <c r="N136" s="106">
        <f t="shared" si="18"/>
        <v>0</v>
      </c>
      <c r="O136" s="105">
        <f t="shared" si="27"/>
        <v>0</v>
      </c>
      <c r="P136" s="105"/>
      <c r="Q136" s="105"/>
      <c r="S136" s="105">
        <f t="shared" si="33"/>
        <v>0</v>
      </c>
      <c r="W136" s="105">
        <f t="shared" si="25"/>
        <v>0</v>
      </c>
      <c r="Y136" s="105">
        <f t="shared" si="32"/>
        <v>0</v>
      </c>
      <c r="AA136" s="122" t="b">
        <f t="shared" si="24"/>
        <v>1</v>
      </c>
      <c r="AB136" s="160" t="s">
        <v>217</v>
      </c>
    </row>
    <row r="137" spans="1:28" x14ac:dyDescent="0.25">
      <c r="A137" s="97" t="s">
        <v>165</v>
      </c>
      <c r="B137" s="143" t="s">
        <v>218</v>
      </c>
      <c r="C137" s="160" t="s">
        <v>219</v>
      </c>
      <c r="D137" s="132"/>
      <c r="E137" s="106"/>
      <c r="F137" s="106"/>
      <c r="H137" s="99" t="s">
        <v>70</v>
      </c>
      <c r="I137" s="99" t="str">
        <f t="shared" si="34"/>
        <v>Insecticidas, fumigantes y otros</v>
      </c>
      <c r="J137" s="105">
        <f t="shared" si="34"/>
        <v>0</v>
      </c>
      <c r="M137" s="105">
        <f t="shared" si="28"/>
        <v>0</v>
      </c>
      <c r="N137" s="106">
        <f t="shared" si="18"/>
        <v>0</v>
      </c>
      <c r="O137" s="105">
        <f t="shared" si="27"/>
        <v>0</v>
      </c>
      <c r="P137" s="105"/>
      <c r="Q137" s="105"/>
      <c r="S137" s="105">
        <f t="shared" si="33"/>
        <v>0</v>
      </c>
      <c r="W137" s="105">
        <f t="shared" si="25"/>
        <v>0</v>
      </c>
      <c r="Y137" s="105">
        <f t="shared" si="32"/>
        <v>0</v>
      </c>
      <c r="AA137" s="122" t="b">
        <f t="shared" si="24"/>
        <v>1</v>
      </c>
      <c r="AB137" s="160" t="s">
        <v>219</v>
      </c>
    </row>
    <row r="138" spans="1:28" x14ac:dyDescent="0.25">
      <c r="A138" s="97" t="s">
        <v>165</v>
      </c>
      <c r="B138" s="143" t="s">
        <v>220</v>
      </c>
      <c r="C138" s="160" t="s">
        <v>221</v>
      </c>
      <c r="D138" s="132"/>
      <c r="E138" s="106"/>
      <c r="F138" s="106"/>
      <c r="H138" s="99" t="s">
        <v>70</v>
      </c>
      <c r="I138" s="99" t="str">
        <f t="shared" si="34"/>
        <v>Pinturas, lacas, barnices, diluyentes y absorbentes para pinturas</v>
      </c>
      <c r="J138" s="105">
        <f t="shared" si="34"/>
        <v>0</v>
      </c>
      <c r="M138" s="105">
        <f t="shared" si="28"/>
        <v>0</v>
      </c>
      <c r="N138" s="106">
        <f t="shared" si="18"/>
        <v>0</v>
      </c>
      <c r="O138" s="105">
        <f t="shared" si="27"/>
        <v>0</v>
      </c>
      <c r="P138" s="105"/>
      <c r="Q138" s="105"/>
      <c r="S138" s="105">
        <f t="shared" si="33"/>
        <v>0</v>
      </c>
      <c r="W138" s="105">
        <f t="shared" si="25"/>
        <v>0</v>
      </c>
      <c r="Y138" s="105">
        <f t="shared" si="32"/>
        <v>0</v>
      </c>
      <c r="AA138" s="122" t="b">
        <f t="shared" si="24"/>
        <v>1</v>
      </c>
      <c r="AB138" s="160" t="s">
        <v>221</v>
      </c>
    </row>
    <row r="139" spans="1:28" s="143" customFormat="1" x14ac:dyDescent="0.25">
      <c r="A139" s="142"/>
      <c r="C139" s="153" t="s">
        <v>222</v>
      </c>
      <c r="D139" s="144"/>
      <c r="E139" s="141"/>
      <c r="F139" s="106"/>
      <c r="J139" s="105">
        <f t="shared" si="34"/>
        <v>0</v>
      </c>
      <c r="M139" s="105">
        <f t="shared" si="28"/>
        <v>0</v>
      </c>
      <c r="N139" s="106">
        <f t="shared" si="18"/>
        <v>0</v>
      </c>
      <c r="O139" s="116">
        <f t="shared" si="27"/>
        <v>0</v>
      </c>
      <c r="P139" s="116"/>
      <c r="Q139" s="116"/>
      <c r="S139" s="116">
        <f t="shared" si="33"/>
        <v>0</v>
      </c>
      <c r="W139" s="105">
        <f t="shared" si="25"/>
        <v>0</v>
      </c>
      <c r="Y139" s="116">
        <f t="shared" si="32"/>
        <v>0</v>
      </c>
      <c r="AA139" s="122" t="b">
        <f t="shared" si="24"/>
        <v>1</v>
      </c>
      <c r="AB139" s="159" t="s">
        <v>222</v>
      </c>
    </row>
    <row r="140" spans="1:28" x14ac:dyDescent="0.25">
      <c r="A140" s="97" t="s">
        <v>165</v>
      </c>
      <c r="B140" s="143" t="s">
        <v>223</v>
      </c>
      <c r="C140" s="160" t="s">
        <v>224</v>
      </c>
      <c r="D140" s="132"/>
      <c r="E140" s="106"/>
      <c r="F140" s="106"/>
      <c r="H140" s="99" t="s">
        <v>70</v>
      </c>
      <c r="I140" s="99" t="str">
        <f>+C140</f>
        <v>Material para limpieza</v>
      </c>
      <c r="J140" s="105">
        <f t="shared" si="34"/>
        <v>0</v>
      </c>
      <c r="M140" s="105">
        <f t="shared" si="28"/>
        <v>0</v>
      </c>
      <c r="N140" s="106">
        <f t="shared" si="18"/>
        <v>0</v>
      </c>
      <c r="O140" s="105">
        <f t="shared" si="27"/>
        <v>0</v>
      </c>
      <c r="P140" s="105"/>
      <c r="Q140" s="105"/>
      <c r="S140" s="105">
        <f t="shared" si="33"/>
        <v>0</v>
      </c>
      <c r="W140" s="105">
        <f t="shared" si="25"/>
        <v>0</v>
      </c>
      <c r="Y140" s="105">
        <f t="shared" si="32"/>
        <v>0</v>
      </c>
      <c r="AA140" s="122" t="b">
        <f t="shared" si="24"/>
        <v>1</v>
      </c>
      <c r="AB140" s="160" t="s">
        <v>224</v>
      </c>
    </row>
    <row r="141" spans="1:28" x14ac:dyDescent="0.25">
      <c r="A141" s="97" t="s">
        <v>165</v>
      </c>
      <c r="B141" s="143" t="s">
        <v>225</v>
      </c>
      <c r="C141" s="160" t="s">
        <v>226</v>
      </c>
      <c r="D141" s="132"/>
      <c r="E141" s="106"/>
      <c r="F141" s="106"/>
      <c r="H141" s="99" t="s">
        <v>70</v>
      </c>
      <c r="I141" s="99" t="str">
        <f>+C141</f>
        <v>Útiles de escritorio, oficina e informática </v>
      </c>
      <c r="J141" s="105">
        <f t="shared" si="34"/>
        <v>0</v>
      </c>
      <c r="M141" s="105">
        <f t="shared" si="28"/>
        <v>0</v>
      </c>
      <c r="N141" s="106">
        <f t="shared" si="18"/>
        <v>0</v>
      </c>
      <c r="O141" s="105">
        <f t="shared" si="27"/>
        <v>0</v>
      </c>
      <c r="P141" s="105"/>
      <c r="Q141" s="105"/>
      <c r="S141" s="105">
        <f t="shared" si="33"/>
        <v>0</v>
      </c>
      <c r="W141" s="105">
        <f t="shared" si="25"/>
        <v>0</v>
      </c>
      <c r="Y141" s="105">
        <f t="shared" si="32"/>
        <v>0</v>
      </c>
      <c r="AA141" s="122" t="b">
        <f t="shared" si="24"/>
        <v>1</v>
      </c>
      <c r="AB141" s="160" t="s">
        <v>226</v>
      </c>
    </row>
    <row r="142" spans="1:28" x14ac:dyDescent="0.25">
      <c r="A142" s="97" t="s">
        <v>165</v>
      </c>
      <c r="B142" s="143" t="s">
        <v>227</v>
      </c>
      <c r="C142" s="160" t="s">
        <v>228</v>
      </c>
      <c r="D142" s="132"/>
      <c r="E142" s="106"/>
      <c r="F142" s="106"/>
      <c r="H142" s="99" t="s">
        <v>70</v>
      </c>
      <c r="I142" s="99" t="str">
        <f>+C142</f>
        <v>Útiles menores médico quirurgicos</v>
      </c>
      <c r="J142" s="105">
        <f t="shared" si="34"/>
        <v>0</v>
      </c>
      <c r="M142" s="105">
        <f t="shared" si="28"/>
        <v>0</v>
      </c>
      <c r="N142" s="106">
        <f t="shared" si="18"/>
        <v>0</v>
      </c>
      <c r="O142" s="105">
        <f t="shared" si="27"/>
        <v>0</v>
      </c>
      <c r="P142" s="105"/>
      <c r="Q142" s="105"/>
      <c r="S142" s="105">
        <f t="shared" si="33"/>
        <v>0</v>
      </c>
      <c r="W142" s="105">
        <f t="shared" si="25"/>
        <v>0</v>
      </c>
      <c r="Y142" s="105">
        <f t="shared" si="32"/>
        <v>0</v>
      </c>
      <c r="AA142" s="122" t="b">
        <f t="shared" si="24"/>
        <v>1</v>
      </c>
      <c r="AB142" s="160" t="s">
        <v>228</v>
      </c>
    </row>
    <row r="143" spans="1:28" x14ac:dyDescent="0.25">
      <c r="A143" s="97" t="s">
        <v>165</v>
      </c>
      <c r="B143" s="143"/>
      <c r="C143" s="160" t="s">
        <v>229</v>
      </c>
      <c r="D143" s="132"/>
      <c r="E143" s="106"/>
      <c r="F143" s="106"/>
      <c r="J143" s="105">
        <f t="shared" si="34"/>
        <v>0</v>
      </c>
      <c r="M143" s="105">
        <f t="shared" si="28"/>
        <v>0</v>
      </c>
      <c r="N143" s="106">
        <f t="shared" si="18"/>
        <v>0</v>
      </c>
      <c r="O143" s="105">
        <f>-N143</f>
        <v>0</v>
      </c>
      <c r="P143" s="105"/>
      <c r="Q143" s="105"/>
      <c r="S143" s="105">
        <f>SUM(N143:R143)</f>
        <v>0</v>
      </c>
      <c r="W143" s="105">
        <f t="shared" si="25"/>
        <v>0</v>
      </c>
      <c r="Y143" s="105">
        <f t="shared" si="32"/>
        <v>0</v>
      </c>
      <c r="AA143" s="122" t="b">
        <f t="shared" si="24"/>
        <v>1</v>
      </c>
      <c r="AB143" s="160" t="s">
        <v>229</v>
      </c>
    </row>
    <row r="144" spans="1:28" x14ac:dyDescent="0.25">
      <c r="A144" s="97" t="s">
        <v>165</v>
      </c>
      <c r="B144" s="143" t="s">
        <v>230</v>
      </c>
      <c r="C144" s="160" t="s">
        <v>229</v>
      </c>
      <c r="D144" s="132"/>
      <c r="E144" s="106"/>
      <c r="F144" s="106"/>
      <c r="I144" s="99" t="str">
        <f t="shared" ref="I144:J159" si="35">+C144</f>
        <v>Útiles destinados a actividades deportivas y recreativas</v>
      </c>
      <c r="J144" s="105">
        <f t="shared" si="34"/>
        <v>0</v>
      </c>
      <c r="M144" s="105">
        <f t="shared" si="28"/>
        <v>0</v>
      </c>
      <c r="N144" s="106">
        <f t="shared" si="18"/>
        <v>0</v>
      </c>
      <c r="O144" s="105">
        <f t="shared" si="27"/>
        <v>0</v>
      </c>
      <c r="P144" s="105"/>
      <c r="Q144" s="105"/>
      <c r="S144" s="105">
        <f t="shared" si="33"/>
        <v>0</v>
      </c>
      <c r="W144" s="105">
        <f t="shared" si="25"/>
        <v>0</v>
      </c>
      <c r="Y144" s="105">
        <f t="shared" si="32"/>
        <v>0</v>
      </c>
      <c r="AA144" s="122" t="b">
        <f t="shared" si="24"/>
        <v>1</v>
      </c>
      <c r="AB144" s="160" t="s">
        <v>229</v>
      </c>
    </row>
    <row r="145" spans="1:28" x14ac:dyDescent="0.25">
      <c r="A145" s="97" t="s">
        <v>165</v>
      </c>
      <c r="B145" s="143" t="s">
        <v>231</v>
      </c>
      <c r="C145" s="160" t="s">
        <v>232</v>
      </c>
      <c r="D145" s="132"/>
      <c r="E145" s="106"/>
      <c r="F145" s="106"/>
      <c r="H145" s="99" t="s">
        <v>70</v>
      </c>
      <c r="I145" s="99" t="str">
        <f t="shared" si="35"/>
        <v>Productos eléctricos y afines</v>
      </c>
      <c r="J145" s="105">
        <f t="shared" si="34"/>
        <v>0</v>
      </c>
      <c r="M145" s="105">
        <f t="shared" si="28"/>
        <v>0</v>
      </c>
      <c r="N145" s="106">
        <f t="shared" si="18"/>
        <v>0</v>
      </c>
      <c r="O145" s="105">
        <f t="shared" si="27"/>
        <v>0</v>
      </c>
      <c r="P145" s="105"/>
      <c r="Q145" s="105"/>
      <c r="S145" s="105">
        <f t="shared" si="33"/>
        <v>0</v>
      </c>
      <c r="W145" s="105">
        <f t="shared" si="25"/>
        <v>0</v>
      </c>
      <c r="Y145" s="105">
        <f t="shared" si="32"/>
        <v>0</v>
      </c>
      <c r="AA145" s="122" t="b">
        <f t="shared" si="24"/>
        <v>1</v>
      </c>
      <c r="AB145" s="160" t="s">
        <v>232</v>
      </c>
    </row>
    <row r="146" spans="1:28" x14ac:dyDescent="0.25">
      <c r="A146" s="97" t="s">
        <v>165</v>
      </c>
      <c r="B146" s="143" t="s">
        <v>233</v>
      </c>
      <c r="C146" s="160" t="s">
        <v>234</v>
      </c>
      <c r="D146" s="132"/>
      <c r="E146" s="106"/>
      <c r="F146" s="106"/>
      <c r="H146" s="99" t="s">
        <v>70</v>
      </c>
      <c r="I146" s="99" t="str">
        <f t="shared" si="35"/>
        <v xml:space="preserve">Productos y utiles veterinarios </v>
      </c>
      <c r="J146" s="105">
        <f t="shared" si="34"/>
        <v>0</v>
      </c>
      <c r="M146" s="105">
        <f t="shared" si="28"/>
        <v>0</v>
      </c>
      <c r="N146" s="106">
        <f t="shared" ref="N146:N159" si="36">+J146+K146-L146-M146</f>
        <v>0</v>
      </c>
      <c r="O146" s="105">
        <f>-N146</f>
        <v>0</v>
      </c>
      <c r="P146" s="105"/>
      <c r="Q146" s="105"/>
      <c r="S146" s="105">
        <f>SUM(N146:R146)</f>
        <v>0</v>
      </c>
      <c r="W146" s="105">
        <f t="shared" si="25"/>
        <v>0</v>
      </c>
      <c r="Y146" s="105">
        <f t="shared" si="32"/>
        <v>0</v>
      </c>
      <c r="AA146" s="122" t="b">
        <f t="shared" si="24"/>
        <v>1</v>
      </c>
      <c r="AB146" s="160" t="s">
        <v>234</v>
      </c>
    </row>
    <row r="147" spans="1:28" x14ac:dyDescent="0.25">
      <c r="A147" s="97" t="s">
        <v>165</v>
      </c>
      <c r="B147" s="143" t="s">
        <v>235</v>
      </c>
      <c r="C147" s="160" t="s">
        <v>236</v>
      </c>
      <c r="D147" s="132"/>
      <c r="E147" s="106"/>
      <c r="F147" s="106"/>
      <c r="H147" s="99" t="s">
        <v>70</v>
      </c>
      <c r="I147" s="99" t="str">
        <f t="shared" si="35"/>
        <v>Otros repuestos y accesorios menores</v>
      </c>
      <c r="J147" s="105">
        <f t="shared" si="34"/>
        <v>0</v>
      </c>
      <c r="M147" s="105">
        <f t="shared" si="28"/>
        <v>0</v>
      </c>
      <c r="N147" s="106">
        <f t="shared" si="36"/>
        <v>0</v>
      </c>
      <c r="O147" s="105">
        <f t="shared" si="27"/>
        <v>0</v>
      </c>
      <c r="P147" s="105"/>
      <c r="Q147" s="105"/>
      <c r="S147" s="105">
        <f t="shared" si="33"/>
        <v>0</v>
      </c>
      <c r="W147" s="105">
        <f t="shared" si="25"/>
        <v>0</v>
      </c>
      <c r="Y147" s="105">
        <f t="shared" si="32"/>
        <v>0</v>
      </c>
      <c r="AA147" s="122" t="b">
        <f t="shared" si="24"/>
        <v>1</v>
      </c>
      <c r="AB147" s="160" t="s">
        <v>236</v>
      </c>
    </row>
    <row r="148" spans="1:28" x14ac:dyDescent="0.25">
      <c r="A148" s="97" t="s">
        <v>165</v>
      </c>
      <c r="B148" s="143" t="s">
        <v>237</v>
      </c>
      <c r="C148" s="160" t="s">
        <v>238</v>
      </c>
      <c r="D148" s="132"/>
      <c r="E148" s="106"/>
      <c r="F148" s="106"/>
      <c r="H148" s="99" t="s">
        <v>70</v>
      </c>
      <c r="I148" s="99" t="str">
        <f t="shared" si="35"/>
        <v>Productos y útiles varios</v>
      </c>
      <c r="J148" s="105">
        <f t="shared" si="34"/>
        <v>0</v>
      </c>
      <c r="M148" s="105">
        <f t="shared" si="28"/>
        <v>0</v>
      </c>
      <c r="N148" s="106">
        <f t="shared" si="36"/>
        <v>0</v>
      </c>
      <c r="O148" s="105">
        <f t="shared" si="27"/>
        <v>0</v>
      </c>
      <c r="P148" s="105"/>
      <c r="Q148" s="105"/>
      <c r="S148" s="105">
        <f t="shared" si="33"/>
        <v>0</v>
      </c>
      <c r="U148" s="105"/>
      <c r="V148" s="105"/>
      <c r="W148" s="105">
        <f t="shared" si="25"/>
        <v>0</v>
      </c>
      <c r="Y148" s="105">
        <f t="shared" si="32"/>
        <v>0</v>
      </c>
      <c r="AA148" s="122" t="b">
        <f t="shared" si="24"/>
        <v>0</v>
      </c>
      <c r="AB148" s="160" t="s">
        <v>239</v>
      </c>
    </row>
    <row r="149" spans="1:28" x14ac:dyDescent="0.25">
      <c r="A149" s="97" t="s">
        <v>93</v>
      </c>
      <c r="B149" s="143" t="s">
        <v>240</v>
      </c>
      <c r="C149" s="160" t="s">
        <v>241</v>
      </c>
      <c r="D149" s="132"/>
      <c r="E149" s="106"/>
      <c r="F149" s="106"/>
      <c r="H149" s="99" t="s">
        <v>70</v>
      </c>
      <c r="I149" s="99" t="str">
        <f t="shared" si="35"/>
        <v>Bonos para útiles diversos</v>
      </c>
      <c r="J149" s="105">
        <f t="shared" si="35"/>
        <v>0</v>
      </c>
      <c r="M149" s="105">
        <f t="shared" si="28"/>
        <v>0</v>
      </c>
      <c r="N149" s="106">
        <f t="shared" si="36"/>
        <v>0</v>
      </c>
      <c r="O149" s="105">
        <f t="shared" si="27"/>
        <v>0</v>
      </c>
      <c r="P149" s="105"/>
      <c r="Q149" s="105"/>
      <c r="S149" s="105">
        <f t="shared" si="33"/>
        <v>0</v>
      </c>
      <c r="U149" s="105">
        <f>+O149</f>
        <v>0</v>
      </c>
      <c r="V149" s="105"/>
      <c r="W149" s="105">
        <f t="shared" si="25"/>
        <v>0</v>
      </c>
      <c r="Y149" s="105">
        <f t="shared" si="32"/>
        <v>0</v>
      </c>
      <c r="AA149" s="122" t="b">
        <f t="shared" si="24"/>
        <v>1</v>
      </c>
      <c r="AB149" s="160" t="s">
        <v>241</v>
      </c>
    </row>
    <row r="150" spans="1:28" s="143" customFormat="1" x14ac:dyDescent="0.25">
      <c r="A150" s="142"/>
      <c r="B150" s="98"/>
      <c r="C150" s="162" t="s">
        <v>242</v>
      </c>
      <c r="D150" s="152"/>
      <c r="E150" s="141"/>
      <c r="F150" s="106"/>
      <c r="I150" s="143" t="str">
        <f t="shared" si="35"/>
        <v>ajustes</v>
      </c>
      <c r="J150" s="105">
        <f t="shared" si="35"/>
        <v>0</v>
      </c>
      <c r="M150" s="105">
        <f t="shared" si="28"/>
        <v>0</v>
      </c>
      <c r="N150" s="106">
        <f t="shared" si="36"/>
        <v>0</v>
      </c>
      <c r="O150" s="116">
        <f t="shared" si="27"/>
        <v>0</v>
      </c>
      <c r="P150" s="116"/>
      <c r="Q150" s="116"/>
      <c r="S150" s="105">
        <f t="shared" si="33"/>
        <v>0</v>
      </c>
      <c r="U150" s="105"/>
      <c r="W150" s="105">
        <f t="shared" si="25"/>
        <v>0</v>
      </c>
      <c r="Y150" s="116">
        <f t="shared" si="32"/>
        <v>0</v>
      </c>
      <c r="AA150" s="122" t="b">
        <f t="shared" si="24"/>
        <v>0</v>
      </c>
      <c r="AB150" s="163"/>
    </row>
    <row r="151" spans="1:28" x14ac:dyDescent="0.25">
      <c r="A151" s="97" t="s">
        <v>165</v>
      </c>
      <c r="B151" s="164" t="s">
        <v>243</v>
      </c>
      <c r="C151" s="160" t="s">
        <v>244</v>
      </c>
      <c r="D151" s="132"/>
      <c r="E151" s="106"/>
      <c r="F151" s="106"/>
      <c r="I151" s="99" t="str">
        <f>+C151</f>
        <v>Minerales</v>
      </c>
      <c r="J151" s="105">
        <f t="shared" si="35"/>
        <v>0</v>
      </c>
      <c r="M151" s="105">
        <f t="shared" si="28"/>
        <v>0</v>
      </c>
      <c r="N151" s="106">
        <f t="shared" si="36"/>
        <v>0</v>
      </c>
      <c r="O151" s="105">
        <f t="shared" si="27"/>
        <v>0</v>
      </c>
      <c r="P151" s="105"/>
      <c r="Q151" s="105"/>
      <c r="S151" s="105">
        <f t="shared" si="33"/>
        <v>0</v>
      </c>
      <c r="U151" s="105">
        <f>+O151</f>
        <v>0</v>
      </c>
      <c r="W151" s="105">
        <f t="shared" si="25"/>
        <v>0</v>
      </c>
      <c r="Y151" s="105">
        <f t="shared" si="32"/>
        <v>0</v>
      </c>
      <c r="AA151" s="122" t="b">
        <f t="shared" si="24"/>
        <v>1</v>
      </c>
      <c r="AB151" s="160" t="s">
        <v>244</v>
      </c>
    </row>
    <row r="152" spans="1:28" x14ac:dyDescent="0.25">
      <c r="A152" s="97" t="s">
        <v>165</v>
      </c>
      <c r="B152" s="164" t="s">
        <v>245</v>
      </c>
      <c r="C152" s="160" t="s">
        <v>246</v>
      </c>
      <c r="D152" s="132"/>
      <c r="E152" s="106"/>
      <c r="F152" s="106"/>
      <c r="H152" s="99" t="s">
        <v>70</v>
      </c>
      <c r="I152" s="99" t="str">
        <f>+C152</f>
        <v>Útiles de cocina y comedor</v>
      </c>
      <c r="J152" s="105">
        <f t="shared" si="35"/>
        <v>0</v>
      </c>
      <c r="M152" s="105">
        <f t="shared" si="28"/>
        <v>0</v>
      </c>
      <c r="N152" s="106">
        <f t="shared" si="36"/>
        <v>0</v>
      </c>
      <c r="O152" s="105">
        <f t="shared" si="27"/>
        <v>0</v>
      </c>
      <c r="P152" s="105"/>
      <c r="Q152" s="105"/>
      <c r="S152" s="105">
        <f t="shared" si="33"/>
        <v>0</v>
      </c>
      <c r="U152" s="105">
        <f>+O152</f>
        <v>0</v>
      </c>
      <c r="W152" s="105">
        <f t="shared" si="25"/>
        <v>0</v>
      </c>
      <c r="Y152" s="105">
        <f t="shared" si="32"/>
        <v>0</v>
      </c>
      <c r="AA152" s="122" t="b">
        <f t="shared" si="24"/>
        <v>1</v>
      </c>
      <c r="AB152" s="160" t="s">
        <v>246</v>
      </c>
    </row>
    <row r="153" spans="1:28" s="143" customFormat="1" x14ac:dyDescent="0.25">
      <c r="A153" s="142"/>
      <c r="B153" s="165"/>
      <c r="C153" s="162"/>
      <c r="D153" s="144"/>
      <c r="E153" s="141"/>
      <c r="F153" s="106"/>
      <c r="J153" s="105">
        <f t="shared" si="35"/>
        <v>0</v>
      </c>
      <c r="M153" s="105">
        <f t="shared" si="28"/>
        <v>0</v>
      </c>
      <c r="N153" s="106">
        <f t="shared" si="36"/>
        <v>0</v>
      </c>
      <c r="O153" s="116"/>
      <c r="P153" s="116"/>
      <c r="Q153" s="116"/>
      <c r="S153" s="105">
        <f t="shared" si="33"/>
        <v>0</v>
      </c>
      <c r="U153" s="105">
        <f>+O153</f>
        <v>0</v>
      </c>
      <c r="W153" s="105">
        <f t="shared" si="25"/>
        <v>0</v>
      </c>
      <c r="X153" s="105">
        <f t="shared" ref="X153:X161" si="37">N153</f>
        <v>0</v>
      </c>
      <c r="Y153" s="116"/>
      <c r="AA153" s="160"/>
      <c r="AB153" s="160"/>
    </row>
    <row r="154" spans="1:28" x14ac:dyDescent="0.25">
      <c r="A154" s="97" t="s">
        <v>113</v>
      </c>
      <c r="C154" s="99" t="s">
        <v>247</v>
      </c>
      <c r="D154" s="132"/>
      <c r="E154" s="106"/>
      <c r="F154" s="106"/>
      <c r="H154" s="99" t="s">
        <v>70</v>
      </c>
      <c r="I154" s="99" t="s">
        <v>247</v>
      </c>
      <c r="J154" s="105">
        <f t="shared" si="35"/>
        <v>0</v>
      </c>
      <c r="K154" s="105"/>
      <c r="L154" s="105"/>
      <c r="M154" s="105">
        <f t="shared" si="28"/>
        <v>0</v>
      </c>
      <c r="N154" s="106">
        <f t="shared" si="36"/>
        <v>0</v>
      </c>
      <c r="O154" s="105">
        <f>-N154</f>
        <v>0</v>
      </c>
      <c r="P154" s="105"/>
      <c r="Q154" s="105"/>
      <c r="S154" s="105">
        <f t="shared" si="33"/>
        <v>0</v>
      </c>
      <c r="U154" s="105"/>
      <c r="V154" s="105"/>
      <c r="W154" s="105">
        <f t="shared" si="25"/>
        <v>0</v>
      </c>
      <c r="X154" s="105"/>
      <c r="Y154" s="105">
        <f>SUM(T154:X154)-O154</f>
        <v>0</v>
      </c>
    </row>
    <row r="155" spans="1:28" s="143" customFormat="1" x14ac:dyDescent="0.25">
      <c r="A155" s="142"/>
      <c r="B155" s="98"/>
      <c r="C155" s="153" t="s">
        <v>248</v>
      </c>
      <c r="D155" s="144"/>
      <c r="E155" s="141"/>
      <c r="F155" s="106"/>
      <c r="J155" s="105">
        <f t="shared" si="35"/>
        <v>0</v>
      </c>
      <c r="M155" s="105">
        <f t="shared" si="28"/>
        <v>0</v>
      </c>
      <c r="N155" s="106">
        <f t="shared" si="36"/>
        <v>0</v>
      </c>
      <c r="U155" s="105">
        <f t="shared" ref="U155:U165" si="38">+O155</f>
        <v>0</v>
      </c>
      <c r="W155" s="105">
        <f t="shared" si="25"/>
        <v>0</v>
      </c>
      <c r="X155" s="105">
        <f t="shared" si="37"/>
        <v>0</v>
      </c>
    </row>
    <row r="156" spans="1:28" x14ac:dyDescent="0.25">
      <c r="A156" s="97" t="s">
        <v>249</v>
      </c>
      <c r="B156" s="157" t="s">
        <v>250</v>
      </c>
      <c r="C156" s="99" t="s">
        <v>251</v>
      </c>
      <c r="D156" s="132"/>
      <c r="E156" s="106"/>
      <c r="F156" s="106"/>
      <c r="H156" s="99" t="s">
        <v>70</v>
      </c>
      <c r="I156" s="99" t="str">
        <f t="shared" ref="I156:J171" si="39">+C156</f>
        <v>Ayudas y donaciones ocacionales a hogares y personas</v>
      </c>
      <c r="J156" s="105">
        <f t="shared" si="35"/>
        <v>0</v>
      </c>
      <c r="K156" s="105"/>
      <c r="L156" s="105"/>
      <c r="M156" s="105">
        <f t="shared" si="28"/>
        <v>0</v>
      </c>
      <c r="N156" s="106">
        <f t="shared" si="36"/>
        <v>0</v>
      </c>
      <c r="O156" s="105">
        <f t="shared" si="27"/>
        <v>0</v>
      </c>
      <c r="P156" s="105"/>
      <c r="Q156" s="105"/>
      <c r="S156" s="105">
        <f t="shared" si="33"/>
        <v>0</v>
      </c>
      <c r="U156" s="105">
        <f t="shared" si="38"/>
        <v>0</v>
      </c>
      <c r="W156" s="105">
        <f t="shared" si="25"/>
        <v>0</v>
      </c>
      <c r="X156" s="105">
        <f t="shared" si="37"/>
        <v>0</v>
      </c>
      <c r="Y156" s="105">
        <f t="shared" ref="Y156:Y162" si="40">SUM(T156:X156)-O156</f>
        <v>0</v>
      </c>
    </row>
    <row r="157" spans="1:28" x14ac:dyDescent="0.25">
      <c r="A157" s="97" t="s">
        <v>93</v>
      </c>
      <c r="B157" s="157" t="s">
        <v>252</v>
      </c>
      <c r="C157" s="99" t="s">
        <v>253</v>
      </c>
      <c r="D157" s="132"/>
      <c r="E157" s="106"/>
      <c r="F157" s="106"/>
      <c r="H157" s="99" t="s">
        <v>70</v>
      </c>
      <c r="I157" s="99" t="str">
        <f t="shared" si="39"/>
        <v>Becas nacionales</v>
      </c>
      <c r="J157" s="105">
        <f t="shared" si="35"/>
        <v>0</v>
      </c>
      <c r="K157" s="105"/>
      <c r="L157" s="105"/>
      <c r="M157" s="105">
        <f t="shared" si="28"/>
        <v>0</v>
      </c>
      <c r="N157" s="106">
        <f t="shared" si="36"/>
        <v>0</v>
      </c>
      <c r="O157" s="105">
        <f t="shared" si="27"/>
        <v>0</v>
      </c>
      <c r="P157" s="105"/>
      <c r="Q157" s="105"/>
      <c r="S157" s="105">
        <f t="shared" si="33"/>
        <v>0</v>
      </c>
      <c r="U157" s="105">
        <f t="shared" si="38"/>
        <v>0</v>
      </c>
      <c r="V157" s="105"/>
      <c r="W157" s="105">
        <f t="shared" si="25"/>
        <v>0</v>
      </c>
      <c r="X157" s="105">
        <f t="shared" si="37"/>
        <v>0</v>
      </c>
      <c r="Y157" s="105">
        <f t="shared" si="40"/>
        <v>0</v>
      </c>
    </row>
    <row r="158" spans="1:28" x14ac:dyDescent="0.25">
      <c r="A158" s="97" t="s">
        <v>93</v>
      </c>
      <c r="B158" s="157" t="s">
        <v>254</v>
      </c>
      <c r="C158" s="99" t="s">
        <v>255</v>
      </c>
      <c r="D158" s="132"/>
      <c r="E158" s="106"/>
      <c r="F158" s="106"/>
      <c r="I158" s="99" t="str">
        <f t="shared" si="39"/>
        <v>Becas extranjeras</v>
      </c>
      <c r="J158" s="105">
        <f t="shared" si="35"/>
        <v>0</v>
      </c>
      <c r="K158" s="105"/>
      <c r="L158" s="105"/>
      <c r="M158" s="105">
        <f t="shared" si="28"/>
        <v>0</v>
      </c>
      <c r="N158" s="106">
        <f t="shared" si="36"/>
        <v>0</v>
      </c>
      <c r="O158" s="105">
        <f t="shared" si="27"/>
        <v>0</v>
      </c>
      <c r="P158" s="105"/>
      <c r="Q158" s="105"/>
      <c r="S158" s="105">
        <f t="shared" si="33"/>
        <v>0</v>
      </c>
      <c r="U158" s="105">
        <f t="shared" si="38"/>
        <v>0</v>
      </c>
      <c r="V158" s="105"/>
      <c r="W158" s="105">
        <f t="shared" si="25"/>
        <v>0</v>
      </c>
      <c r="X158" s="105">
        <f t="shared" si="37"/>
        <v>0</v>
      </c>
      <c r="Y158" s="105">
        <f t="shared" si="40"/>
        <v>0</v>
      </c>
    </row>
    <row r="159" spans="1:28" x14ac:dyDescent="0.25">
      <c r="A159" s="97" t="s">
        <v>249</v>
      </c>
      <c r="B159" s="157" t="s">
        <v>256</v>
      </c>
      <c r="C159" s="99" t="s">
        <v>257</v>
      </c>
      <c r="D159" s="132">
        <v>9000</v>
      </c>
      <c r="E159" s="106"/>
      <c r="F159" s="106"/>
      <c r="H159" s="99" t="s">
        <v>70</v>
      </c>
      <c r="I159" s="99" t="str">
        <f t="shared" si="39"/>
        <v>Transferencias corrientes a asociaciones sin fines de lucro</v>
      </c>
      <c r="J159" s="105">
        <f t="shared" si="35"/>
        <v>9000</v>
      </c>
      <c r="K159" s="105"/>
      <c r="L159" s="105"/>
      <c r="M159" s="105">
        <f t="shared" si="28"/>
        <v>0</v>
      </c>
      <c r="N159" s="106">
        <f t="shared" si="36"/>
        <v>9000</v>
      </c>
      <c r="O159" s="105">
        <f t="shared" si="27"/>
        <v>-9000</v>
      </c>
      <c r="P159" s="105"/>
      <c r="Q159" s="105"/>
      <c r="S159" s="105">
        <f t="shared" si="33"/>
        <v>0</v>
      </c>
      <c r="U159" s="105"/>
      <c r="W159" s="105"/>
      <c r="X159" s="105"/>
      <c r="Y159" s="105"/>
    </row>
    <row r="160" spans="1:28" x14ac:dyDescent="0.25">
      <c r="A160" s="97" t="s">
        <v>258</v>
      </c>
      <c r="B160" s="166"/>
      <c r="C160" s="167" t="s">
        <v>259</v>
      </c>
      <c r="D160" s="132">
        <v>2098358.34</v>
      </c>
      <c r="E160" s="106"/>
      <c r="F160" s="106"/>
      <c r="I160" s="99" t="str">
        <f t="shared" si="39"/>
        <v>Gasto de depreciación</v>
      </c>
      <c r="J160" s="105">
        <f t="shared" si="39"/>
        <v>2098358.34</v>
      </c>
      <c r="K160" s="137"/>
      <c r="L160" s="105"/>
      <c r="M160" s="105">
        <f t="shared" si="28"/>
        <v>0</v>
      </c>
      <c r="N160" s="106"/>
      <c r="O160" s="105"/>
      <c r="P160" s="105"/>
      <c r="Q160" s="105"/>
      <c r="S160" s="105"/>
      <c r="U160" s="105"/>
      <c r="W160" s="105"/>
      <c r="X160" s="105"/>
      <c r="Y160" s="105"/>
    </row>
    <row r="161" spans="1:25" x14ac:dyDescent="0.25">
      <c r="A161" s="97" t="s">
        <v>258</v>
      </c>
      <c r="B161" s="166"/>
      <c r="C161" s="167" t="s">
        <v>260</v>
      </c>
      <c r="D161" s="132"/>
      <c r="E161" s="106"/>
      <c r="F161" s="106"/>
      <c r="I161" s="99" t="str">
        <f t="shared" si="39"/>
        <v>Gasto de amortización</v>
      </c>
      <c r="J161" s="105">
        <f t="shared" si="39"/>
        <v>0</v>
      </c>
      <c r="K161" s="105"/>
      <c r="L161" s="105"/>
      <c r="M161" s="105">
        <f t="shared" si="28"/>
        <v>0</v>
      </c>
      <c r="N161" s="106">
        <f>+J161+K161-L161-M161</f>
        <v>0</v>
      </c>
      <c r="O161" s="105">
        <f t="shared" si="27"/>
        <v>0</v>
      </c>
      <c r="P161" s="105"/>
      <c r="Q161" s="105"/>
      <c r="S161" s="105">
        <f>SUM(N161:R161)</f>
        <v>0</v>
      </c>
      <c r="U161" s="105">
        <f t="shared" si="38"/>
        <v>0</v>
      </c>
      <c r="W161" s="105">
        <f t="shared" si="25"/>
        <v>0</v>
      </c>
      <c r="X161" s="105">
        <f t="shared" si="37"/>
        <v>0</v>
      </c>
      <c r="Y161" s="105">
        <f t="shared" si="40"/>
        <v>0</v>
      </c>
    </row>
    <row r="162" spans="1:25" x14ac:dyDescent="0.25">
      <c r="A162" s="97" t="s">
        <v>113</v>
      </c>
      <c r="C162" s="99" t="s">
        <v>261</v>
      </c>
      <c r="D162" s="104"/>
      <c r="E162" s="106">
        <f>SUM(E37:E160)</f>
        <v>-1055000</v>
      </c>
      <c r="F162" s="106"/>
      <c r="I162" s="99" t="str">
        <f t="shared" si="39"/>
        <v>Pérdida por retiro</v>
      </c>
      <c r="J162" s="105">
        <f t="shared" si="39"/>
        <v>0</v>
      </c>
      <c r="K162" s="105"/>
      <c r="L162" s="105"/>
      <c r="M162" s="105">
        <f t="shared" si="28"/>
        <v>0</v>
      </c>
      <c r="N162" s="106">
        <f>+J162+K162-L162-M162</f>
        <v>0</v>
      </c>
      <c r="O162" s="105">
        <f t="shared" si="27"/>
        <v>0</v>
      </c>
      <c r="P162" s="105"/>
      <c r="Q162" s="105"/>
      <c r="S162" s="105">
        <f>SUM(N162:R162)</f>
        <v>0</v>
      </c>
      <c r="U162" s="105">
        <f t="shared" si="38"/>
        <v>0</v>
      </c>
      <c r="W162" s="105"/>
      <c r="Y162" s="105">
        <f t="shared" si="40"/>
        <v>0</v>
      </c>
    </row>
    <row r="163" spans="1:25" x14ac:dyDescent="0.25">
      <c r="C163" s="122"/>
      <c r="D163" s="104"/>
      <c r="E163" s="106"/>
      <c r="F163" s="106">
        <f>+D159+D105+D85+D58+D45</f>
        <v>28106765.159067798</v>
      </c>
      <c r="J163" s="105">
        <f t="shared" si="39"/>
        <v>0</v>
      </c>
      <c r="K163" s="105"/>
      <c r="L163" s="105"/>
      <c r="M163" s="105"/>
      <c r="N163" s="106"/>
      <c r="O163" s="105"/>
      <c r="P163" s="105"/>
      <c r="Q163" s="105"/>
      <c r="S163" s="105"/>
      <c r="U163" s="105">
        <f t="shared" si="38"/>
        <v>0</v>
      </c>
      <c r="W163" s="105"/>
      <c r="Y163" s="105"/>
    </row>
    <row r="164" spans="1:25" s="143" customFormat="1" x14ac:dyDescent="0.25">
      <c r="A164" s="142"/>
      <c r="B164" s="98"/>
      <c r="C164" s="153" t="s">
        <v>262</v>
      </c>
      <c r="D164" s="168"/>
      <c r="E164" s="106"/>
      <c r="F164" s="106"/>
      <c r="G164" s="169"/>
      <c r="I164" s="143" t="s">
        <v>263</v>
      </c>
      <c r="J164" s="105">
        <f t="shared" si="39"/>
        <v>0</v>
      </c>
      <c r="K164" s="116">
        <f>+L31</f>
        <v>0</v>
      </c>
      <c r="L164" s="116"/>
      <c r="M164" s="116"/>
      <c r="N164" s="141">
        <f>J164+K164+L164-M164</f>
        <v>0</v>
      </c>
      <c r="O164" s="116">
        <f t="shared" si="27"/>
        <v>0</v>
      </c>
      <c r="P164" s="116"/>
      <c r="Q164" s="116"/>
      <c r="S164" s="116">
        <f>SUM(N164:R164)</f>
        <v>0</v>
      </c>
      <c r="U164" s="105"/>
      <c r="W164" s="105"/>
      <c r="Y164" s="116">
        <f>SUM(T164:X164)-O164</f>
        <v>0</v>
      </c>
    </row>
    <row r="165" spans="1:25" x14ac:dyDescent="0.25">
      <c r="D165" s="104"/>
      <c r="E165" s="106"/>
      <c r="F165" s="106"/>
      <c r="J165" s="105">
        <f t="shared" si="39"/>
        <v>0</v>
      </c>
      <c r="M165" s="105"/>
      <c r="U165" s="105">
        <f t="shared" si="38"/>
        <v>0</v>
      </c>
      <c r="W165" s="105">
        <f t="shared" si="25"/>
        <v>0</v>
      </c>
      <c r="Y165" s="105">
        <f>SUM(T165:X165)-O165</f>
        <v>0</v>
      </c>
    </row>
    <row r="166" spans="1:25" x14ac:dyDescent="0.25">
      <c r="D166" s="104"/>
      <c r="E166" s="106"/>
      <c r="F166" s="106"/>
      <c r="J166" s="105">
        <f t="shared" si="39"/>
        <v>0</v>
      </c>
      <c r="M166" s="105"/>
      <c r="W166" s="105">
        <f t="shared" si="25"/>
        <v>0</v>
      </c>
    </row>
    <row r="167" spans="1:25" x14ac:dyDescent="0.25">
      <c r="C167" s="99" t="s">
        <v>11</v>
      </c>
      <c r="D167" s="104"/>
      <c r="E167" s="106"/>
      <c r="F167" s="106"/>
      <c r="J167" s="105">
        <f t="shared" si="39"/>
        <v>0</v>
      </c>
      <c r="M167" s="105"/>
      <c r="W167" s="105">
        <f t="shared" ref="W167:W180" si="41">+O167</f>
        <v>0</v>
      </c>
    </row>
    <row r="168" spans="1:25" x14ac:dyDescent="0.25">
      <c r="C168" s="170" t="s">
        <v>25</v>
      </c>
      <c r="D168" s="106"/>
      <c r="E168" s="106">
        <f t="shared" ref="E168" si="42">+SUBTOTAL(9,E12:E161)</f>
        <v>-1055000</v>
      </c>
      <c r="F168" s="106">
        <f>+SUBTOTAL(9,F12:F161)</f>
        <v>-11868576</v>
      </c>
      <c r="J168" s="105">
        <f t="shared" si="39"/>
        <v>0</v>
      </c>
      <c r="M168" s="105"/>
      <c r="W168" s="105">
        <f t="shared" si="41"/>
        <v>0</v>
      </c>
    </row>
    <row r="169" spans="1:25" x14ac:dyDescent="0.25">
      <c r="C169" s="170"/>
      <c r="D169" s="104"/>
      <c r="E169" s="106"/>
      <c r="F169" s="106"/>
      <c r="J169" s="105">
        <f t="shared" si="39"/>
        <v>0</v>
      </c>
      <c r="M169" s="105"/>
      <c r="W169" s="105">
        <f t="shared" si="41"/>
        <v>0</v>
      </c>
    </row>
    <row r="170" spans="1:25" x14ac:dyDescent="0.25">
      <c r="C170" s="170"/>
      <c r="D170" s="104"/>
      <c r="E170" s="106"/>
      <c r="F170" s="106"/>
      <c r="J170" s="105">
        <f t="shared" si="39"/>
        <v>0</v>
      </c>
      <c r="M170" s="105"/>
      <c r="W170" s="105">
        <f t="shared" si="41"/>
        <v>0</v>
      </c>
    </row>
    <row r="171" spans="1:25" x14ac:dyDescent="0.25">
      <c r="C171" s="170"/>
      <c r="D171" s="104"/>
      <c r="E171" s="106"/>
      <c r="F171" s="106"/>
      <c r="J171" s="105">
        <f t="shared" si="39"/>
        <v>0</v>
      </c>
      <c r="M171" s="105"/>
      <c r="W171" s="105">
        <f t="shared" si="41"/>
        <v>0</v>
      </c>
    </row>
    <row r="172" spans="1:25" x14ac:dyDescent="0.25">
      <c r="C172" s="170"/>
      <c r="D172" s="104"/>
      <c r="E172" s="106"/>
      <c r="F172" s="106"/>
      <c r="J172" s="105">
        <f>+D172</f>
        <v>0</v>
      </c>
      <c r="M172" s="105"/>
      <c r="W172" s="105">
        <f t="shared" si="41"/>
        <v>0</v>
      </c>
    </row>
    <row r="173" spans="1:25" x14ac:dyDescent="0.25">
      <c r="C173" s="170"/>
      <c r="D173" s="104"/>
      <c r="E173" s="106"/>
      <c r="F173" s="106"/>
      <c r="J173" s="105">
        <f>+D173</f>
        <v>0</v>
      </c>
      <c r="M173" s="105"/>
      <c r="W173" s="105">
        <f t="shared" si="41"/>
        <v>0</v>
      </c>
    </row>
    <row r="174" spans="1:25" x14ac:dyDescent="0.25">
      <c r="C174" s="170"/>
      <c r="D174" s="104"/>
      <c r="E174" s="106"/>
      <c r="F174" s="106"/>
      <c r="J174" s="105"/>
      <c r="M174" s="105"/>
      <c r="W174" s="105">
        <f t="shared" si="41"/>
        <v>0</v>
      </c>
    </row>
    <row r="175" spans="1:25" x14ac:dyDescent="0.25">
      <c r="C175" s="170"/>
      <c r="D175" s="104"/>
      <c r="E175" s="106"/>
      <c r="F175" s="106"/>
      <c r="J175" s="105"/>
      <c r="M175" s="105"/>
      <c r="W175" s="105">
        <f t="shared" si="41"/>
        <v>0</v>
      </c>
    </row>
    <row r="176" spans="1:25" x14ac:dyDescent="0.25">
      <c r="C176" s="170"/>
      <c r="D176" s="104"/>
      <c r="E176" s="106"/>
      <c r="F176" s="106"/>
      <c r="J176" s="105"/>
      <c r="M176" s="105"/>
      <c r="W176" s="105">
        <f t="shared" si="41"/>
        <v>0</v>
      </c>
    </row>
    <row r="177" spans="3:23" x14ac:dyDescent="0.25">
      <c r="C177" s="170"/>
      <c r="D177" s="104"/>
      <c r="E177" s="106"/>
      <c r="F177" s="106"/>
      <c r="J177" s="105"/>
      <c r="M177" s="105"/>
      <c r="W177" s="105">
        <f t="shared" si="41"/>
        <v>0</v>
      </c>
    </row>
    <row r="178" spans="3:23" x14ac:dyDescent="0.25">
      <c r="C178" s="170"/>
      <c r="D178" s="104"/>
      <c r="E178" s="106"/>
      <c r="F178" s="106"/>
      <c r="J178" s="105"/>
      <c r="M178" s="105"/>
      <c r="W178" s="105">
        <f t="shared" si="41"/>
        <v>0</v>
      </c>
    </row>
    <row r="179" spans="3:23" x14ac:dyDescent="0.25">
      <c r="C179" s="170"/>
      <c r="D179" s="104"/>
      <c r="E179" s="106"/>
      <c r="F179" s="106"/>
      <c r="J179" s="105"/>
      <c r="M179" s="105"/>
      <c r="W179" s="105">
        <f t="shared" si="41"/>
        <v>0</v>
      </c>
    </row>
    <row r="180" spans="3:23" x14ac:dyDescent="0.25">
      <c r="C180" s="170"/>
      <c r="D180" s="104"/>
      <c r="E180" s="106"/>
      <c r="F180" s="106"/>
      <c r="J180" s="105"/>
      <c r="M180" s="105"/>
      <c r="W180" s="105">
        <f t="shared" si="41"/>
        <v>0</v>
      </c>
    </row>
    <row r="181" spans="3:23" x14ac:dyDescent="0.25">
      <c r="C181" s="170"/>
      <c r="D181" s="104"/>
      <c r="E181" s="106"/>
      <c r="F181" s="106"/>
      <c r="J181" s="105"/>
      <c r="M181" s="105"/>
    </row>
    <row r="182" spans="3:23" x14ac:dyDescent="0.25">
      <c r="C182" s="170"/>
      <c r="D182" s="104"/>
      <c r="E182" s="106"/>
      <c r="F182" s="106"/>
      <c r="J182" s="105"/>
      <c r="M182" s="105"/>
    </row>
    <row r="183" spans="3:23" x14ac:dyDescent="0.25">
      <c r="C183" s="170"/>
      <c r="D183" s="104"/>
      <c r="E183" s="106"/>
      <c r="F183" s="106"/>
      <c r="J183" s="105"/>
      <c r="M183" s="105"/>
    </row>
    <row r="184" spans="3:23" x14ac:dyDescent="0.25">
      <c r="C184" s="170"/>
      <c r="D184" s="104"/>
      <c r="E184" s="106"/>
      <c r="F184" s="106"/>
      <c r="J184" s="105"/>
      <c r="M184" s="105"/>
    </row>
    <row r="185" spans="3:23" x14ac:dyDescent="0.25">
      <c r="C185" s="170"/>
      <c r="D185" s="104"/>
      <c r="E185" s="106"/>
      <c r="F185" s="106"/>
      <c r="J185" s="105"/>
      <c r="M185" s="105"/>
    </row>
    <row r="186" spans="3:23" x14ac:dyDescent="0.25">
      <c r="C186" s="170"/>
      <c r="D186" s="104"/>
      <c r="E186" s="106"/>
      <c r="F186" s="106"/>
      <c r="J186" s="105"/>
      <c r="M186" s="105"/>
    </row>
    <row r="187" spans="3:23" x14ac:dyDescent="0.25">
      <c r="C187" s="170"/>
      <c r="D187" s="104"/>
      <c r="E187" s="106"/>
      <c r="F187" s="106"/>
      <c r="J187" s="105"/>
      <c r="M187" s="105"/>
    </row>
    <row r="188" spans="3:23" x14ac:dyDescent="0.25">
      <c r="C188" s="170"/>
      <c r="D188" s="104"/>
      <c r="E188" s="106"/>
      <c r="F188" s="106"/>
      <c r="J188" s="105"/>
      <c r="M188" s="105"/>
    </row>
    <row r="189" spans="3:23" x14ac:dyDescent="0.25">
      <c r="C189" s="170"/>
      <c r="D189" s="104"/>
      <c r="E189" s="106"/>
      <c r="F189" s="106"/>
      <c r="J189" s="105"/>
      <c r="M189" s="105"/>
    </row>
    <row r="190" spans="3:23" x14ac:dyDescent="0.25">
      <c r="C190" s="170"/>
      <c r="D190" s="104"/>
      <c r="E190" s="106"/>
      <c r="F190" s="106"/>
      <c r="J190" s="105"/>
      <c r="M190" s="105"/>
    </row>
    <row r="191" spans="3:23" x14ac:dyDescent="0.25">
      <c r="C191" s="170"/>
      <c r="D191" s="104"/>
      <c r="E191" s="106"/>
      <c r="F191" s="106"/>
      <c r="J191" s="105"/>
      <c r="M191" s="105"/>
    </row>
    <row r="192" spans="3:23" x14ac:dyDescent="0.25">
      <c r="C192" s="170"/>
      <c r="D192" s="104"/>
      <c r="E192" s="106"/>
      <c r="F192" s="106"/>
      <c r="J192" s="105"/>
      <c r="M192" s="105"/>
    </row>
    <row r="193" spans="3:13" x14ac:dyDescent="0.25">
      <c r="C193" s="170"/>
      <c r="D193" s="104"/>
      <c r="E193" s="106"/>
      <c r="F193" s="106"/>
      <c r="J193" s="105"/>
      <c r="M193" s="105"/>
    </row>
    <row r="194" spans="3:13" x14ac:dyDescent="0.25">
      <c r="C194" s="170"/>
      <c r="D194" s="104"/>
      <c r="E194" s="106"/>
      <c r="F194" s="106"/>
      <c r="J194" s="105"/>
      <c r="M194" s="105"/>
    </row>
    <row r="195" spans="3:13" x14ac:dyDescent="0.25">
      <c r="C195" s="170"/>
      <c r="D195" s="104"/>
      <c r="E195" s="106"/>
      <c r="F195" s="106"/>
      <c r="J195" s="105"/>
      <c r="M195" s="105"/>
    </row>
    <row r="196" spans="3:13" x14ac:dyDescent="0.25">
      <c r="C196" s="170"/>
      <c r="D196" s="104"/>
      <c r="E196" s="106"/>
      <c r="F196" s="106"/>
      <c r="J196" s="105"/>
      <c r="M196" s="105"/>
    </row>
    <row r="197" spans="3:13" x14ac:dyDescent="0.25">
      <c r="C197" s="170"/>
      <c r="D197" s="104"/>
      <c r="E197" s="106"/>
      <c r="F197" s="106"/>
      <c r="J197" s="105"/>
      <c r="M197" s="105"/>
    </row>
    <row r="198" spans="3:13" x14ac:dyDescent="0.25">
      <c r="C198" s="170"/>
      <c r="D198" s="104"/>
      <c r="E198" s="106"/>
      <c r="F198" s="106"/>
      <c r="J198" s="105"/>
      <c r="M198" s="105"/>
    </row>
    <row r="199" spans="3:13" x14ac:dyDescent="0.25">
      <c r="C199" s="170"/>
      <c r="D199" s="104"/>
      <c r="E199" s="106"/>
      <c r="F199" s="106"/>
      <c r="J199" s="105"/>
      <c r="M199" s="105"/>
    </row>
    <row r="200" spans="3:13" x14ac:dyDescent="0.25">
      <c r="C200" s="170"/>
      <c r="D200" s="104"/>
      <c r="E200" s="105"/>
      <c r="F200" s="105"/>
      <c r="J200" s="105"/>
      <c r="M200" s="105"/>
    </row>
    <row r="201" spans="3:13" x14ac:dyDescent="0.25">
      <c r="C201" s="170"/>
      <c r="D201" s="104"/>
      <c r="E201" s="105"/>
      <c r="F201" s="105"/>
      <c r="J201" s="105"/>
      <c r="M201" s="105"/>
    </row>
  </sheetData>
  <autoFilter ref="A11:Y164"/>
  <mergeCells count="11">
    <mergeCell ref="T8:X8"/>
    <mergeCell ref="K10:L10"/>
    <mergeCell ref="C5:F5"/>
    <mergeCell ref="I5:L5"/>
    <mergeCell ref="S5:S10"/>
    <mergeCell ref="C6:F6"/>
    <mergeCell ref="I6:L6"/>
    <mergeCell ref="C7:F7"/>
    <mergeCell ref="I7:L7"/>
    <mergeCell ref="C8:F8"/>
    <mergeCell ref="I8:L8"/>
  </mergeCells>
  <pageMargins left="0.7" right="0.7" top="0.75" bottom="0.75" header="0.3" footer="0.3"/>
  <pageSetup orientation="landscape" r:id="rId1"/>
  <headerFooter>
    <oddFooter>&amp;C&amp;P de &amp;N</oddFooter>
  </headerFooter>
  <ignoredErrors>
    <ignoredError sqref="D31:D3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J15"/>
  <sheetViews>
    <sheetView workbookViewId="0">
      <selection activeCell="H11" sqref="H11"/>
    </sheetView>
  </sheetViews>
  <sheetFormatPr baseColWidth="10" defaultRowHeight="15" x14ac:dyDescent="0.25"/>
  <cols>
    <col min="4" max="4" width="29.42578125" customWidth="1"/>
    <col min="5" max="5" width="12.7109375" bestFit="1" customWidth="1"/>
    <col min="6" max="6" width="14.85546875" customWidth="1"/>
    <col min="7" max="7" width="13.7109375" customWidth="1"/>
    <col min="8" max="8" width="11.7109375" bestFit="1" customWidth="1"/>
    <col min="9" max="9" width="16.5703125" customWidth="1"/>
    <col min="10" max="10" width="11.7109375" bestFit="1" customWidth="1"/>
  </cols>
  <sheetData>
    <row r="6" spans="4:10" ht="45" x14ac:dyDescent="0.25">
      <c r="E6" t="s">
        <v>394</v>
      </c>
      <c r="F6" t="s">
        <v>395</v>
      </c>
      <c r="G6" s="190" t="s">
        <v>397</v>
      </c>
      <c r="H6" s="189" t="s">
        <v>396</v>
      </c>
      <c r="I6" s="189"/>
    </row>
    <row r="7" spans="4:10" x14ac:dyDescent="0.25">
      <c r="D7" t="s">
        <v>392</v>
      </c>
      <c r="E7" s="32">
        <v>11393773</v>
      </c>
      <c r="F7" s="32">
        <v>5775895.5300000003</v>
      </c>
      <c r="G7" s="32">
        <f>E7-F7</f>
        <v>5617877.4699999997</v>
      </c>
      <c r="H7" s="32">
        <v>3803794.12</v>
      </c>
      <c r="I7" s="32">
        <f>SUM(G7:H7)</f>
        <v>9421671.5899999999</v>
      </c>
    </row>
    <row r="8" spans="4:10" x14ac:dyDescent="0.25">
      <c r="E8" s="32"/>
      <c r="F8" s="32"/>
      <c r="G8" s="32">
        <f t="shared" ref="G8:G9" si="0">E8-F8</f>
        <v>0</v>
      </c>
      <c r="H8" s="32"/>
      <c r="I8" s="32">
        <f t="shared" ref="I8:I9" si="1">SUM(G8:H8)</f>
        <v>0</v>
      </c>
    </row>
    <row r="9" spans="4:10" x14ac:dyDescent="0.25">
      <c r="D9" t="s">
        <v>393</v>
      </c>
      <c r="E9" s="32">
        <v>474803</v>
      </c>
      <c r="F9" s="32"/>
      <c r="G9" s="32">
        <f t="shared" si="0"/>
        <v>474803</v>
      </c>
      <c r="H9" s="32">
        <v>420904.78</v>
      </c>
      <c r="I9" s="32">
        <f t="shared" si="1"/>
        <v>895707.78</v>
      </c>
    </row>
    <row r="10" spans="4:10" x14ac:dyDescent="0.25">
      <c r="E10" s="32"/>
      <c r="F10" s="32"/>
      <c r="G10" s="32"/>
      <c r="H10" s="32"/>
      <c r="I10" s="32">
        <f>SUM(I7:I9)</f>
        <v>10317379.369999999</v>
      </c>
    </row>
    <row r="11" spans="4:10" x14ac:dyDescent="0.25">
      <c r="E11" s="32"/>
      <c r="F11" s="32">
        <f>'BC Balance Comprobación'!G27</f>
        <v>-5617877.4699999997</v>
      </c>
      <c r="G11" s="32"/>
      <c r="H11" s="32">
        <f>SUM(H7:H10)</f>
        <v>4224698.9000000004</v>
      </c>
      <c r="I11" s="32">
        <v>10317380.41</v>
      </c>
      <c r="J11" s="32">
        <f>I11-H11</f>
        <v>6092681.5099999998</v>
      </c>
    </row>
    <row r="12" spans="4:10" x14ac:dyDescent="0.25">
      <c r="E12" s="32">
        <f>SUM(E7:E11)</f>
        <v>11868576</v>
      </c>
      <c r="F12" s="32">
        <f>SUM(F7:F11)</f>
        <v>158018.06000000052</v>
      </c>
      <c r="G12" s="32">
        <f>SUM(G7:G11)</f>
        <v>6092680.4699999997</v>
      </c>
      <c r="H12" s="32"/>
      <c r="I12" s="32"/>
    </row>
    <row r="13" spans="4:10" x14ac:dyDescent="0.25">
      <c r="E13" s="32"/>
      <c r="F13" s="32"/>
      <c r="G13" s="32">
        <v>10317380.41</v>
      </c>
      <c r="H13" s="32"/>
      <c r="I13" s="32"/>
    </row>
    <row r="14" spans="4:10" x14ac:dyDescent="0.25">
      <c r="E14" s="32"/>
      <c r="F14" s="32"/>
      <c r="G14" s="32">
        <f>G13-G12</f>
        <v>4224699.9400000004</v>
      </c>
      <c r="H14" s="32"/>
      <c r="I14" s="32">
        <f>H7+H9</f>
        <v>4224698.9000000004</v>
      </c>
    </row>
    <row r="15" spans="4:10" x14ac:dyDescent="0.25">
      <c r="E15" s="32"/>
      <c r="F15" s="32"/>
      <c r="G15" s="32"/>
      <c r="H15" s="32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6"/>
  <sheetViews>
    <sheetView tabSelected="1" view="pageBreakPreview" topLeftCell="C1" zoomScaleSheetLayoutView="100" workbookViewId="0">
      <selection activeCell="M1" sqref="M1"/>
    </sheetView>
  </sheetViews>
  <sheetFormatPr baseColWidth="10" defaultColWidth="11.42578125" defaultRowHeight="15" x14ac:dyDescent="0.25"/>
  <cols>
    <col min="1" max="1" width="5.42578125" style="3" hidden="1" customWidth="1"/>
    <col min="2" max="2" width="3.7109375" style="1" hidden="1" customWidth="1"/>
    <col min="3" max="3" width="57.42578125" style="1" customWidth="1"/>
    <col min="4" max="4" width="21.7109375" style="1" customWidth="1"/>
    <col min="5" max="5" width="5.7109375" style="1" customWidth="1"/>
    <col min="6" max="6" width="20" style="1" customWidth="1"/>
    <col min="7" max="7" width="4.85546875" style="1" customWidth="1"/>
    <col min="8" max="8" width="20.5703125" style="1" hidden="1" customWidth="1"/>
    <col min="9" max="9" width="3.7109375" style="1" customWidth="1"/>
    <col min="10" max="10" width="19.85546875" style="1" customWidth="1"/>
    <col min="11" max="11" width="14.85546875" style="1" hidden="1" customWidth="1"/>
    <col min="12" max="12" width="15.85546875" style="1" bestFit="1" customWidth="1"/>
    <col min="13" max="13" width="14.140625" style="1" bestFit="1" customWidth="1"/>
    <col min="14" max="16384" width="11.42578125" style="2"/>
  </cols>
  <sheetData>
    <row r="1" spans="1:14" ht="117.75" customHeight="1" x14ac:dyDescent="0.25">
      <c r="C1" s="203" t="str">
        <f>'[3] ERF-Rendimiento Financiero'!C3</f>
        <v>Estado de Rendimiento Financiero</v>
      </c>
      <c r="D1" s="203"/>
      <c r="E1" s="203"/>
      <c r="F1" s="203"/>
      <c r="G1" s="203"/>
      <c r="H1" s="203"/>
    </row>
    <row r="2" spans="1:14" ht="15" customHeight="1" x14ac:dyDescent="0.25">
      <c r="C2" s="200" t="s">
        <v>398</v>
      </c>
      <c r="D2" s="200"/>
      <c r="E2" s="200"/>
      <c r="F2" s="200"/>
      <c r="G2" s="200"/>
      <c r="H2" s="18"/>
    </row>
    <row r="3" spans="1:14" ht="15" customHeight="1" x14ac:dyDescent="0.25">
      <c r="C3" s="200" t="str">
        <f>'[3] ERF-Rendimiento Financiero'!C5</f>
        <v>(Valores en RD$)</v>
      </c>
      <c r="D3" s="200"/>
      <c r="E3" s="200"/>
      <c r="F3" s="200"/>
      <c r="G3" s="200"/>
      <c r="H3" s="200"/>
    </row>
    <row r="4" spans="1:14" ht="15" customHeight="1" x14ac:dyDescent="0.25">
      <c r="C4" s="4"/>
      <c r="D4" s="4"/>
      <c r="E4" s="4"/>
      <c r="F4" s="5"/>
      <c r="G4" s="5"/>
      <c r="H4" s="5"/>
    </row>
    <row r="5" spans="1:14" ht="36" customHeight="1" x14ac:dyDescent="0.25">
      <c r="C5" s="5"/>
      <c r="D5" s="5"/>
      <c r="E5" s="5"/>
      <c r="F5" s="40"/>
      <c r="G5" s="40"/>
      <c r="H5" s="40">
        <f>+'[2]ESF - Situación Financiera'!H19</f>
        <v>2021</v>
      </c>
    </row>
    <row r="6" spans="1:14" ht="15.75" x14ac:dyDescent="0.25">
      <c r="C6" s="4" t="s">
        <v>288</v>
      </c>
      <c r="D6" s="4"/>
      <c r="E6" s="4"/>
      <c r="F6" s="6"/>
      <c r="G6" s="7"/>
      <c r="H6" s="8"/>
      <c r="K6" s="11"/>
    </row>
    <row r="7" spans="1:14" hidden="1" x14ac:dyDescent="0.25">
      <c r="A7" s="3" t="s">
        <v>287</v>
      </c>
      <c r="C7" s="1" t="s">
        <v>286</v>
      </c>
      <c r="F7" s="11" t="e">
        <f>-SUMIF('[2]BC Balance Comprobación'!A:A,' ERF-Rendimiento Financiero'!A7,'[2]BC Balance Comprobación'!D:D)</f>
        <v>#VALUE!</v>
      </c>
      <c r="G7" s="11"/>
      <c r="H7" s="11" t="e">
        <f>-SUMIF('[2]BC Balance Comprobación'!A:A,' ERF-Rendimiento Financiero'!A7,'[2]BC Balance Comprobación'!F:F)</f>
        <v>#VALUE!</v>
      </c>
      <c r="K7" s="11" t="e">
        <f>+F7+H7</f>
        <v>#VALUE!</v>
      </c>
    </row>
    <row r="8" spans="1:14" ht="15.75" x14ac:dyDescent="0.25">
      <c r="A8" s="3" t="s">
        <v>84</v>
      </c>
      <c r="C8" s="5" t="s">
        <v>285</v>
      </c>
      <c r="D8" s="5"/>
      <c r="E8" s="5"/>
      <c r="F8" s="6">
        <f>-'BC Balance Comprobación'!D37</f>
        <v>1150000</v>
      </c>
      <c r="G8" s="6"/>
      <c r="H8" s="6" t="e">
        <f>-SUMIF('[2]BC Balance Comprobación'!A:A,' ERF-Rendimiento Financiero'!A8,'[2]BC Balance Comprobación'!F:F)</f>
        <v>#VALUE!</v>
      </c>
      <c r="K8" s="11" t="e">
        <f>+F8+H8</f>
        <v>#VALUE!</v>
      </c>
    </row>
    <row r="9" spans="1:14" ht="15.75" x14ac:dyDescent="0.25">
      <c r="A9" s="3" t="s">
        <v>86</v>
      </c>
      <c r="C9" s="5" t="s">
        <v>87</v>
      </c>
      <c r="D9" s="5"/>
      <c r="E9" s="5"/>
      <c r="F9" s="6">
        <f>-'BC Balance Comprobación'!D38-'BC Balance Comprobación'!D39</f>
        <v>21384948.050000001</v>
      </c>
      <c r="G9" s="6"/>
      <c r="H9" s="6">
        <f>-SUMIF('[2]BC Balance Comprobación'!A:A,' ERF-Rendimiento Financiero'!A9,'[2]BC Balance Comprobación'!F:F)</f>
        <v>0</v>
      </c>
      <c r="K9" s="11">
        <f>+F9+H9</f>
        <v>21384948.050000001</v>
      </c>
    </row>
    <row r="10" spans="1:14" ht="15.75" x14ac:dyDescent="0.25">
      <c r="A10" s="3" t="s">
        <v>88</v>
      </c>
      <c r="C10" s="5" t="s">
        <v>89</v>
      </c>
      <c r="D10" s="5"/>
      <c r="E10" s="5"/>
      <c r="F10" s="15">
        <f>-'BC Balance Comprobación'!D40</f>
        <v>24000</v>
      </c>
      <c r="G10" s="6"/>
      <c r="H10" s="15">
        <f>-SUMIF('[2]BC Balance Comprobación'!A:A,' ERF-Rendimiento Financiero'!A10,'[2]BC Balance Comprobación'!F:F)</f>
        <v>0</v>
      </c>
      <c r="K10" s="11">
        <f>+F10+H10</f>
        <v>24000</v>
      </c>
    </row>
    <row r="11" spans="1:14" ht="15.75" x14ac:dyDescent="0.25">
      <c r="C11" s="18" t="s">
        <v>284</v>
      </c>
      <c r="D11" s="18"/>
      <c r="E11" s="18"/>
      <c r="F11" s="19">
        <f>F8+F9+F10</f>
        <v>22558948.050000001</v>
      </c>
      <c r="G11" s="9"/>
      <c r="H11" s="19" t="e">
        <f>SUM(H7:H10)</f>
        <v>#VALUE!</v>
      </c>
      <c r="K11" s="11" t="e">
        <f>+F11+H11</f>
        <v>#VALUE!</v>
      </c>
      <c r="L11" s="20"/>
    </row>
    <row r="12" spans="1:14" ht="18.75" customHeight="1" x14ac:dyDescent="0.25">
      <c r="C12" s="5" t="s">
        <v>11</v>
      </c>
      <c r="D12" s="5"/>
      <c r="E12" s="5"/>
      <c r="F12" s="6"/>
      <c r="G12" s="6"/>
      <c r="H12" s="6"/>
    </row>
    <row r="13" spans="1:14" ht="15.75" x14ac:dyDescent="0.25">
      <c r="C13" s="18" t="s">
        <v>283</v>
      </c>
      <c r="D13" s="18"/>
      <c r="E13" s="18"/>
      <c r="F13" s="10"/>
      <c r="G13" s="10"/>
      <c r="H13" s="10"/>
      <c r="K13" s="11"/>
    </row>
    <row r="14" spans="1:14" ht="15.75" x14ac:dyDescent="0.25">
      <c r="A14" s="3" t="s">
        <v>93</v>
      </c>
      <c r="C14" s="5" t="s">
        <v>282</v>
      </c>
      <c r="D14" s="5"/>
      <c r="E14" s="5"/>
      <c r="F14" s="29">
        <f>'BC Balance Comprobación'!D45+'BC Balance Comprobación'!D58</f>
        <v>19494673.43</v>
      </c>
      <c r="G14" s="6"/>
      <c r="H14" s="6">
        <f>SUMIF('[2]BC Balance Comprobación'!A:A,' ERF-Rendimiento Financiero'!A14,'[2]BC Balance Comprobación'!F:F)</f>
        <v>0</v>
      </c>
      <c r="J14" s="11"/>
      <c r="K14" s="11">
        <f t="shared" ref="K14:K25" si="0">+F14+H14</f>
        <v>19494673.43</v>
      </c>
      <c r="L14" s="11"/>
      <c r="M14" s="11"/>
    </row>
    <row r="15" spans="1:14" ht="15.75" x14ac:dyDescent="0.25">
      <c r="A15" s="3" t="s">
        <v>249</v>
      </c>
      <c r="C15" s="1" t="s">
        <v>281</v>
      </c>
      <c r="F15" s="6">
        <f>'BC Balance Comprobación'!D159</f>
        <v>9000</v>
      </c>
      <c r="G15" s="11"/>
      <c r="H15" s="11">
        <f>SUMIF('[2]BC Balance Comprobación'!A:A,' ERF-Rendimiento Financiero'!A15,'[2]BC Balance Comprobación'!F:F)</f>
        <v>0</v>
      </c>
      <c r="K15" s="11">
        <f t="shared" si="0"/>
        <v>9000</v>
      </c>
    </row>
    <row r="16" spans="1:14" ht="15.75" x14ac:dyDescent="0.25">
      <c r="A16" s="3" t="s">
        <v>165</v>
      </c>
      <c r="C16" s="5" t="s">
        <v>280</v>
      </c>
      <c r="D16" s="5"/>
      <c r="E16" s="5"/>
      <c r="F16" s="6">
        <f>'BC Balance Comprobación'!W2</f>
        <v>8603091.7290677968</v>
      </c>
      <c r="G16" s="6"/>
      <c r="H16" s="6">
        <f>SUMIF('[2]BC Balance Comprobación'!A:A,' ERF-Rendimiento Financiero'!A16,'[2]BC Balance Comprobación'!F:F)</f>
        <v>0</v>
      </c>
      <c r="J16" s="20"/>
      <c r="K16" s="11">
        <f t="shared" si="0"/>
        <v>8603091.7290677968</v>
      </c>
      <c r="L16" s="12"/>
      <c r="M16" s="20"/>
      <c r="N16" s="39"/>
    </row>
    <row r="17" spans="1:14" ht="15.75" x14ac:dyDescent="0.25">
      <c r="A17" s="3" t="s">
        <v>258</v>
      </c>
      <c r="C17" s="5" t="s">
        <v>279</v>
      </c>
      <c r="D17" s="5"/>
      <c r="E17" s="5"/>
      <c r="F17" s="15">
        <f>'BC Balance Comprobación'!D160</f>
        <v>2098358.34</v>
      </c>
      <c r="G17" s="6"/>
      <c r="H17" s="6">
        <f>SUMIF('[2]BC Balance Comprobación'!A:A,' ERF-Rendimiento Financiero'!A17,'[2]BC Balance Comprobación'!F:F)</f>
        <v>0</v>
      </c>
      <c r="J17" s="11"/>
      <c r="K17" s="11">
        <f t="shared" si="0"/>
        <v>2098358.34</v>
      </c>
    </row>
    <row r="18" spans="1:14" hidden="1" x14ac:dyDescent="0.25">
      <c r="A18" s="3" t="s">
        <v>278</v>
      </c>
      <c r="C18" s="1" t="s">
        <v>277</v>
      </c>
      <c r="F18" s="11">
        <f>SUMIF('[2]BC Balance Comprobación'!A:A,' ERF-Rendimiento Financiero'!A18,'[2]BC Balance Comprobación'!D:D)</f>
        <v>0</v>
      </c>
      <c r="G18" s="11"/>
      <c r="H18" s="11">
        <f>SUMIF('[2]BC Balance Comprobación'!A:A,' ERF-Rendimiento Financiero'!A18,'[2]BC Balance Comprobación'!F:F)</f>
        <v>0</v>
      </c>
      <c r="K18" s="11">
        <f t="shared" si="0"/>
        <v>0</v>
      </c>
    </row>
    <row r="19" spans="1:14" ht="14.25" hidden="1" customHeight="1" x14ac:dyDescent="0.25">
      <c r="A19" s="3" t="s">
        <v>113</v>
      </c>
      <c r="C19" s="5" t="s">
        <v>276</v>
      </c>
      <c r="D19" s="5"/>
      <c r="E19" s="5"/>
      <c r="F19" s="15">
        <f>'[2]BC Balance Comprobación'!D153</f>
        <v>0</v>
      </c>
      <c r="G19" s="6"/>
      <c r="H19" s="15">
        <f>SUMIF('[2]BC Balance Comprobación'!A:A,' ERF-Rendimiento Financiero'!A19,'[2]BC Balance Comprobación'!F:F)</f>
        <v>0</v>
      </c>
      <c r="J19" s="11"/>
      <c r="K19" s="11">
        <f t="shared" si="0"/>
        <v>0</v>
      </c>
      <c r="L19" s="12"/>
      <c r="N19" s="39"/>
    </row>
    <row r="20" spans="1:14" hidden="1" x14ac:dyDescent="0.25">
      <c r="A20" s="3" t="s">
        <v>275</v>
      </c>
      <c r="C20" s="1" t="s">
        <v>274</v>
      </c>
      <c r="F20" s="11">
        <f>SUMIF('[2]BC Balance Comprobación'!A:A,' ERF-Rendimiento Financiero'!A20,'[2]BC Balance Comprobación'!D:D)</f>
        <v>0</v>
      </c>
      <c r="G20" s="11"/>
      <c r="H20" s="11">
        <f>SUMIF('[2]BC Balance Comprobación'!A:A,' ERF-Rendimiento Financiero'!A20,'[2]BC Balance Comprobación'!F:F)</f>
        <v>0</v>
      </c>
      <c r="K20" s="11">
        <f t="shared" si="0"/>
        <v>0</v>
      </c>
    </row>
    <row r="21" spans="1:14" ht="15.75" x14ac:dyDescent="0.25">
      <c r="C21" s="18" t="s">
        <v>273</v>
      </c>
      <c r="D21" s="18"/>
      <c r="E21" s="18"/>
      <c r="F21" s="9">
        <f>F14+F16+F17+F19+F15</f>
        <v>30205123.499067795</v>
      </c>
      <c r="G21" s="9"/>
      <c r="H21" s="19">
        <f>SUM(H14:H20)</f>
        <v>0</v>
      </c>
      <c r="J21" s="21"/>
      <c r="K21" s="11">
        <f t="shared" si="0"/>
        <v>30205123.499067795</v>
      </c>
      <c r="L21" s="11"/>
    </row>
    <row r="22" spans="1:14" x14ac:dyDescent="0.25">
      <c r="F22" s="11"/>
      <c r="G22" s="11"/>
      <c r="H22" s="11"/>
      <c r="J22" s="21"/>
      <c r="K22" s="11">
        <f t="shared" si="0"/>
        <v>0</v>
      </c>
    </row>
    <row r="23" spans="1:14" hidden="1" x14ac:dyDescent="0.25">
      <c r="A23" s="3" t="s">
        <v>272</v>
      </c>
      <c r="C23" s="1" t="s">
        <v>271</v>
      </c>
      <c r="F23" s="11">
        <v>0</v>
      </c>
      <c r="G23" s="11"/>
      <c r="H23" s="11">
        <v>0</v>
      </c>
      <c r="K23" s="11">
        <f t="shared" si="0"/>
        <v>0</v>
      </c>
    </row>
    <row r="24" spans="1:14" hidden="1" x14ac:dyDescent="0.25">
      <c r="F24" s="11"/>
      <c r="G24" s="11"/>
      <c r="H24" s="11"/>
      <c r="K24" s="11">
        <f t="shared" si="0"/>
        <v>0</v>
      </c>
    </row>
    <row r="25" spans="1:14" hidden="1" x14ac:dyDescent="0.25">
      <c r="A25" s="3" t="s">
        <v>270</v>
      </c>
      <c r="C25" s="1" t="s">
        <v>269</v>
      </c>
      <c r="F25" s="11">
        <v>0</v>
      </c>
      <c r="G25" s="11"/>
      <c r="H25" s="11">
        <v>0</v>
      </c>
      <c r="K25" s="11">
        <f t="shared" si="0"/>
        <v>0</v>
      </c>
    </row>
    <row r="26" spans="1:14" ht="15.75" x14ac:dyDescent="0.25">
      <c r="C26" s="5"/>
      <c r="D26" s="5"/>
      <c r="E26" s="5"/>
      <c r="F26" s="6"/>
      <c r="G26" s="6"/>
      <c r="H26" s="6"/>
      <c r="J26" s="21"/>
    </row>
    <row r="27" spans="1:14" ht="16.5" thickBot="1" x14ac:dyDescent="0.3">
      <c r="C27" s="5" t="s">
        <v>20</v>
      </c>
      <c r="D27" s="5"/>
      <c r="E27" s="5"/>
      <c r="F27" s="17">
        <f>F11-F21</f>
        <v>-7646175.4490677938</v>
      </c>
      <c r="G27" s="9"/>
      <c r="H27" s="17" t="e">
        <f>+H11-H21+H23+H25</f>
        <v>#VALUE!</v>
      </c>
      <c r="K27" s="11" t="e">
        <f>+F27+H27</f>
        <v>#VALUE!</v>
      </c>
    </row>
    <row r="28" spans="1:14" ht="16.5" thickTop="1" x14ac:dyDescent="0.25">
      <c r="C28" s="5"/>
      <c r="D28" s="5"/>
      <c r="E28" s="5"/>
      <c r="F28" s="6"/>
      <c r="G28" s="6"/>
      <c r="H28" s="6"/>
      <c r="J28" s="11"/>
    </row>
    <row r="29" spans="1:14" hidden="1" x14ac:dyDescent="0.25">
      <c r="F29" s="11"/>
      <c r="G29" s="11"/>
      <c r="H29" s="11"/>
      <c r="K29" s="11">
        <f>+F29+H29</f>
        <v>0</v>
      </c>
    </row>
    <row r="30" spans="1:14" hidden="1" x14ac:dyDescent="0.25">
      <c r="A30" s="3" t="s">
        <v>268</v>
      </c>
      <c r="C30" s="1" t="s">
        <v>267</v>
      </c>
      <c r="F30" s="11">
        <v>0</v>
      </c>
      <c r="G30" s="11"/>
      <c r="H30" s="11">
        <v>0</v>
      </c>
      <c r="K30" s="11">
        <f>+F30+H30</f>
        <v>0</v>
      </c>
    </row>
    <row r="31" spans="1:14" hidden="1" x14ac:dyDescent="0.25">
      <c r="A31" s="3" t="s">
        <v>266</v>
      </c>
      <c r="C31" s="1" t="s">
        <v>265</v>
      </c>
      <c r="F31" s="22">
        <v>0</v>
      </c>
      <c r="G31" s="22"/>
      <c r="H31" s="22">
        <v>0</v>
      </c>
      <c r="K31" s="11">
        <f>+F31+H31</f>
        <v>0</v>
      </c>
    </row>
    <row r="32" spans="1:14" ht="15.75" hidden="1" thickBot="1" x14ac:dyDescent="0.3">
      <c r="F32" s="37">
        <f>SUM(F30:F31)</f>
        <v>0</v>
      </c>
      <c r="G32" s="38"/>
      <c r="H32" s="37">
        <f>SUM(H30:H31)</f>
        <v>0</v>
      </c>
      <c r="K32" s="11">
        <f>+F32+H32</f>
        <v>0</v>
      </c>
    </row>
    <row r="33" spans="3:10" ht="15.75" hidden="1" x14ac:dyDescent="0.25">
      <c r="C33" s="5"/>
      <c r="D33" s="5"/>
      <c r="E33" s="5"/>
      <c r="F33" s="6"/>
      <c r="G33" s="6"/>
      <c r="H33" s="6"/>
    </row>
    <row r="34" spans="3:10" ht="15.75" x14ac:dyDescent="0.25">
      <c r="C34" s="204"/>
      <c r="D34" s="204"/>
      <c r="E34" s="204"/>
      <c r="F34" s="204"/>
      <c r="G34" s="204"/>
      <c r="H34" s="204"/>
    </row>
    <row r="35" spans="3:10" ht="15.75" hidden="1" x14ac:dyDescent="0.25">
      <c r="C35" s="5" t="s">
        <v>264</v>
      </c>
      <c r="D35" s="5"/>
      <c r="E35" s="5"/>
      <c r="F35" s="4"/>
      <c r="G35" s="4"/>
      <c r="H35" s="5"/>
    </row>
    <row r="36" spans="3:10" ht="15.75" x14ac:dyDescent="0.25">
      <c r="C36" s="4"/>
      <c r="D36" s="4"/>
      <c r="E36" s="4"/>
      <c r="F36" s="5"/>
      <c r="G36" s="5"/>
      <c r="H36" s="5"/>
    </row>
    <row r="37" spans="3:10" ht="15.75" x14ac:dyDescent="0.25">
      <c r="C37" s="4"/>
      <c r="D37" s="4"/>
      <c r="E37" s="4"/>
      <c r="F37" s="29"/>
      <c r="G37" s="5"/>
      <c r="H37" s="5"/>
    </row>
    <row r="38" spans="3:10" ht="15.75" x14ac:dyDescent="0.25">
      <c r="C38" s="4"/>
      <c r="D38" s="4"/>
      <c r="E38" s="4"/>
      <c r="F38" s="6"/>
      <c r="G38" s="5"/>
      <c r="H38" s="5"/>
    </row>
    <row r="39" spans="3:10" ht="15.75" x14ac:dyDescent="0.25">
      <c r="C39" s="4"/>
      <c r="D39" s="4"/>
      <c r="E39" s="4"/>
      <c r="F39" s="29"/>
      <c r="G39" s="5"/>
      <c r="H39" s="5"/>
      <c r="J39" s="20"/>
    </row>
    <row r="40" spans="3:10" ht="15.75" x14ac:dyDescent="0.25">
      <c r="C40" s="5"/>
      <c r="D40" s="5"/>
      <c r="E40" s="5"/>
      <c r="F40" s="5"/>
      <c r="G40" s="5"/>
      <c r="H40" s="5"/>
    </row>
    <row r="41" spans="3:10" ht="15.75" hidden="1" x14ac:dyDescent="0.25">
      <c r="C41" s="202" t="s">
        <v>24</v>
      </c>
      <c r="D41" s="202"/>
      <c r="E41" s="202"/>
      <c r="F41" s="202"/>
      <c r="G41" s="202"/>
      <c r="H41" s="202"/>
    </row>
    <row r="42" spans="3:10" ht="18.75" hidden="1" x14ac:dyDescent="0.25">
      <c r="C42" s="30"/>
      <c r="D42" s="30"/>
      <c r="E42" s="30"/>
      <c r="F42" s="30"/>
      <c r="G42" s="30"/>
      <c r="H42" s="30"/>
    </row>
    <row r="43" spans="3:10" ht="18.75" hidden="1" x14ac:dyDescent="0.25">
      <c r="C43" s="31"/>
      <c r="D43" s="31"/>
      <c r="E43" s="31"/>
      <c r="F43" s="31"/>
      <c r="G43" s="31"/>
      <c r="H43" s="31"/>
    </row>
    <row r="44" spans="3:10" ht="15.75" hidden="1" customHeight="1" x14ac:dyDescent="0.3">
      <c r="C44" s="202"/>
      <c r="D44" s="202"/>
      <c r="E44" s="202"/>
      <c r="F44" s="202"/>
      <c r="G44" s="202"/>
      <c r="H44" s="36"/>
    </row>
    <row r="45" spans="3:10" ht="18.75" x14ac:dyDescent="0.25">
      <c r="C45" s="200" t="s">
        <v>22</v>
      </c>
      <c r="D45" s="200"/>
      <c r="E45" s="200"/>
      <c r="F45" s="200"/>
      <c r="G45" s="18"/>
      <c r="H45" s="31"/>
    </row>
    <row r="46" spans="3:10" x14ac:dyDescent="0.25">
      <c r="C46" s="201" t="s">
        <v>23</v>
      </c>
      <c r="D46" s="201"/>
      <c r="E46" s="201"/>
      <c r="F46" s="201"/>
    </row>
  </sheetData>
  <autoFilter ref="A5:K35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5:F45"/>
    <mergeCell ref="C46:F46"/>
    <mergeCell ref="C2:G2"/>
    <mergeCell ref="C41:H41"/>
    <mergeCell ref="C1:H1"/>
    <mergeCell ref="C3:H3"/>
    <mergeCell ref="C34:H34"/>
    <mergeCell ref="C44:G44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88"/>
  <sheetViews>
    <sheetView view="pageBreakPreview" topLeftCell="A55" zoomScale="60" workbookViewId="0">
      <selection sqref="A1:E1"/>
    </sheetView>
  </sheetViews>
  <sheetFormatPr baseColWidth="10" defaultColWidth="11.42578125" defaultRowHeight="18.75" x14ac:dyDescent="0.25"/>
  <cols>
    <col min="1" max="1" width="92.140625" style="31" customWidth="1"/>
    <col min="2" max="2" width="30.7109375" style="1" hidden="1" customWidth="1"/>
    <col min="3" max="3" width="21" style="31" customWidth="1"/>
    <col min="4" max="4" width="4.28515625" style="1" hidden="1" customWidth="1"/>
    <col min="5" max="5" width="21.140625" style="1" hidden="1" customWidth="1"/>
    <col min="6" max="6" width="2.7109375" style="1" hidden="1" customWidth="1"/>
    <col min="7" max="7" width="19.5703125" style="1" hidden="1" customWidth="1"/>
    <col min="8" max="8" width="12.5703125" style="1" hidden="1" customWidth="1"/>
    <col min="9" max="9" width="21.140625" style="1" hidden="1" customWidth="1"/>
    <col min="10" max="10" width="20.140625" style="1" hidden="1" customWidth="1"/>
    <col min="11" max="12" width="20.140625" style="2" hidden="1" customWidth="1"/>
    <col min="13" max="13" width="16.5703125" style="2" hidden="1" customWidth="1"/>
    <col min="14" max="14" width="20.140625" style="2" hidden="1" customWidth="1"/>
    <col min="15" max="15" width="17" style="2" hidden="1" customWidth="1"/>
    <col min="16" max="16" width="15.42578125" style="2" bestFit="1" customWidth="1"/>
    <col min="17" max="17" width="15.85546875" style="2" bestFit="1" customWidth="1"/>
    <col min="18" max="18" width="16.140625" style="2" bestFit="1" customWidth="1"/>
    <col min="19" max="19" width="52.5703125" style="2" bestFit="1" customWidth="1"/>
    <col min="20" max="23" width="11.42578125" style="2"/>
    <col min="24" max="24" width="15.85546875" style="2" bestFit="1" customWidth="1"/>
    <col min="25" max="25" width="11.42578125" style="2"/>
    <col min="26" max="26" width="15.85546875" style="2" bestFit="1" customWidth="1"/>
    <col min="27" max="27" width="13" style="2" bestFit="1" customWidth="1"/>
    <col min="28" max="16384" width="11.42578125" style="2"/>
  </cols>
  <sheetData>
    <row r="1" spans="1:17" ht="120.75" customHeight="1" x14ac:dyDescent="0.3">
      <c r="A1" s="209" t="str">
        <f>'[4]Flujo de Efectivo'!A2</f>
        <v>Estado de Flujo de Efectivo</v>
      </c>
      <c r="B1" s="205"/>
      <c r="C1" s="209"/>
      <c r="D1" s="205"/>
      <c r="E1" s="205"/>
      <c r="F1" s="31"/>
    </row>
    <row r="2" spans="1:17" x14ac:dyDescent="0.3">
      <c r="A2" s="209" t="s">
        <v>399</v>
      </c>
      <c r="B2" s="205"/>
      <c r="C2" s="209"/>
      <c r="D2" s="205"/>
      <c r="E2" s="205"/>
      <c r="F2" s="31"/>
    </row>
    <row r="3" spans="1:17" x14ac:dyDescent="0.3">
      <c r="A3" s="209" t="str">
        <f>'[4]Flujo de Efectivo'!A4</f>
        <v>(Valores en RD$)</v>
      </c>
      <c r="B3" s="205"/>
      <c r="C3" s="209"/>
      <c r="D3" s="205"/>
      <c r="E3" s="205"/>
      <c r="F3" s="31"/>
    </row>
    <row r="4" spans="1:17" ht="14.25" customHeight="1" thickBot="1" x14ac:dyDescent="0.3">
      <c r="A4" s="66"/>
      <c r="B4" s="66"/>
      <c r="C4" s="45"/>
      <c r="D4" s="45"/>
      <c r="E4" s="31"/>
      <c r="F4" s="31"/>
    </row>
    <row r="5" spans="1:17" ht="19.5" thickBot="1" x14ac:dyDescent="0.3">
      <c r="B5" s="31"/>
      <c r="C5" s="80">
        <f>+'[2]BC Balance Comprobación'!D11</f>
        <v>2022</v>
      </c>
      <c r="D5" s="80"/>
      <c r="E5" s="80">
        <f>+'[2]BC Balance Comprobación'!F11</f>
        <v>2021</v>
      </c>
      <c r="F5" s="31"/>
      <c r="G5" s="79">
        <v>44197</v>
      </c>
      <c r="I5" s="78">
        <v>44228</v>
      </c>
      <c r="J5" s="77">
        <v>44256</v>
      </c>
      <c r="K5" s="77">
        <v>44287</v>
      </c>
      <c r="L5" s="77">
        <v>44317</v>
      </c>
    </row>
    <row r="6" spans="1:17" x14ac:dyDescent="0.25">
      <c r="A6" s="76" t="s">
        <v>337</v>
      </c>
      <c r="B6" s="76"/>
      <c r="C6" s="75"/>
      <c r="D6" s="75"/>
      <c r="E6" s="47"/>
      <c r="F6" s="31"/>
      <c r="H6" s="11"/>
      <c r="J6" s="74"/>
      <c r="K6" s="74"/>
    </row>
    <row r="7" spans="1:17" customFormat="1" hidden="1" x14ac:dyDescent="0.3">
      <c r="A7" s="54" t="s">
        <v>336</v>
      </c>
      <c r="B7" s="54"/>
      <c r="C7" s="13">
        <v>0</v>
      </c>
      <c r="D7" s="13"/>
      <c r="E7" s="13">
        <v>0</v>
      </c>
      <c r="F7" s="14"/>
      <c r="G7" s="52"/>
      <c r="H7" s="13">
        <f t="shared" ref="H7:H14" si="0">+C7+E7</f>
        <v>0</v>
      </c>
      <c r="I7" s="14"/>
      <c r="J7" s="14"/>
    </row>
    <row r="8" spans="1:17" customFormat="1" hidden="1" x14ac:dyDescent="0.25">
      <c r="A8" s="54" t="s">
        <v>335</v>
      </c>
      <c r="B8" s="54"/>
      <c r="C8" s="13">
        <v>0</v>
      </c>
      <c r="D8" s="13"/>
      <c r="E8" s="13">
        <v>0</v>
      </c>
      <c r="F8" s="14"/>
      <c r="G8" s="43"/>
      <c r="H8" s="13">
        <f t="shared" si="0"/>
        <v>0</v>
      </c>
      <c r="I8" s="14"/>
      <c r="J8" s="14"/>
      <c r="O8" s="28">
        <v>97913476.890000001</v>
      </c>
      <c r="P8" s="28"/>
    </row>
    <row r="9" spans="1:17" customFormat="1" x14ac:dyDescent="0.3">
      <c r="A9" s="42" t="s">
        <v>334</v>
      </c>
      <c r="B9" s="52"/>
      <c r="C9" s="52">
        <f>-'BC Balance Comprobación'!D37</f>
        <v>1150000</v>
      </c>
      <c r="D9" s="53"/>
      <c r="E9" s="52">
        <f>'[2]BC Balance Comprobación'!M37</f>
        <v>0</v>
      </c>
      <c r="F9" s="51"/>
      <c r="G9" s="52">
        <v>250000</v>
      </c>
      <c r="H9" s="13">
        <f t="shared" si="0"/>
        <v>1150000</v>
      </c>
      <c r="I9" s="56">
        <f>-'[5]BC Balance Comprobación'!J37</f>
        <v>1430000</v>
      </c>
      <c r="J9" s="56">
        <v>925000</v>
      </c>
      <c r="K9" s="56">
        <v>5470000</v>
      </c>
      <c r="M9" s="34">
        <f>+G9+I9+J9+K9</f>
        <v>8075000</v>
      </c>
      <c r="O9" s="28">
        <v>96320160.819999993</v>
      </c>
      <c r="Q9" s="28"/>
    </row>
    <row r="10" spans="1:17" x14ac:dyDescent="0.25">
      <c r="A10" s="42" t="s">
        <v>333</v>
      </c>
      <c r="B10" s="43"/>
      <c r="C10" s="43">
        <f>-'BC Balance Comprobación'!D38-'BC Balance Comprobación'!D39</f>
        <v>21384948.050000001</v>
      </c>
      <c r="D10" s="73"/>
      <c r="E10" s="45">
        <f>'[2]BC Balance Comprobación'!M38</f>
        <v>0</v>
      </c>
      <c r="F10" s="31"/>
      <c r="G10" s="43">
        <v>12775551</v>
      </c>
      <c r="H10" s="11">
        <f t="shared" si="0"/>
        <v>21384948.050000001</v>
      </c>
      <c r="I10" s="56">
        <f>-'[5]BC Balance Comprobación'!J38</f>
        <v>22060869</v>
      </c>
      <c r="J10" s="56">
        <v>13121616.66</v>
      </c>
      <c r="K10" s="56">
        <v>18001583</v>
      </c>
      <c r="L10" s="56">
        <v>14704462</v>
      </c>
      <c r="M10" s="26">
        <f>+C10+G10+I10+J10+K10+L10</f>
        <v>102049029.70999999</v>
      </c>
      <c r="O10" s="27">
        <f>+O8-O9</f>
        <v>1593316.0700000077</v>
      </c>
      <c r="P10" s="188"/>
    </row>
    <row r="11" spans="1:17" customFormat="1" hidden="1" x14ac:dyDescent="0.25">
      <c r="A11" s="54" t="s">
        <v>332</v>
      </c>
      <c r="B11" s="54">
        <v>79000</v>
      </c>
      <c r="C11" s="72"/>
      <c r="D11" s="72"/>
      <c r="E11" s="13">
        <v>0</v>
      </c>
      <c r="F11" s="14"/>
      <c r="G11" s="72"/>
      <c r="H11" s="13">
        <f t="shared" si="0"/>
        <v>0</v>
      </c>
      <c r="I11" s="56"/>
      <c r="J11" s="14"/>
    </row>
    <row r="12" spans="1:17" customFormat="1" hidden="1" x14ac:dyDescent="0.3">
      <c r="A12" s="54" t="s">
        <v>331</v>
      </c>
      <c r="B12" s="54"/>
      <c r="C12" s="72">
        <v>0</v>
      </c>
      <c r="D12" s="72"/>
      <c r="E12" s="13"/>
      <c r="F12" s="14"/>
      <c r="G12" s="71"/>
      <c r="H12" s="13">
        <f t="shared" si="0"/>
        <v>0</v>
      </c>
      <c r="I12" s="56"/>
      <c r="J12" s="14"/>
    </row>
    <row r="13" spans="1:17" customFormat="1" hidden="1" x14ac:dyDescent="0.3">
      <c r="A13" s="54" t="s">
        <v>330</v>
      </c>
      <c r="B13" s="54">
        <v>-6923283.4199999999</v>
      </c>
      <c r="C13" s="72">
        <v>0</v>
      </c>
      <c r="D13" s="72"/>
      <c r="E13" s="13">
        <v>0</v>
      </c>
      <c r="F13" s="14"/>
      <c r="G13" s="52"/>
      <c r="H13" s="13">
        <f t="shared" si="0"/>
        <v>0</v>
      </c>
      <c r="I13" s="56"/>
      <c r="J13" s="14"/>
      <c r="K13" s="28"/>
      <c r="O13" s="34">
        <f>+M17+M18+M20</f>
        <v>-98006003.089067802</v>
      </c>
    </row>
    <row r="14" spans="1:17" customFormat="1" x14ac:dyDescent="0.3">
      <c r="A14" s="42" t="s">
        <v>302</v>
      </c>
      <c r="B14" s="71"/>
      <c r="C14" s="71">
        <f>-'BC Balance Comprobación'!D40</f>
        <v>24000</v>
      </c>
      <c r="D14" s="70"/>
      <c r="E14" s="52">
        <f>'[2]BC Balance Comprobación'!M39</f>
        <v>0</v>
      </c>
      <c r="F14" s="51"/>
      <c r="G14" s="13"/>
      <c r="H14" s="13">
        <f t="shared" si="0"/>
        <v>24000</v>
      </c>
      <c r="I14" s="56">
        <v>9000</v>
      </c>
      <c r="J14" s="56">
        <v>6000</v>
      </c>
      <c r="K14" s="56">
        <v>15000</v>
      </c>
      <c r="M14" s="34">
        <f>+I14+J14+K14</f>
        <v>30000</v>
      </c>
      <c r="O14" s="34">
        <f>+O8+O13-P8</f>
        <v>-92526.199067801237</v>
      </c>
    </row>
    <row r="15" spans="1:17" customFormat="1" x14ac:dyDescent="0.3">
      <c r="A15" s="57"/>
      <c r="B15" s="52"/>
      <c r="C15" s="52"/>
      <c r="D15" s="53"/>
      <c r="E15" s="52"/>
      <c r="F15" s="51"/>
      <c r="G15" s="45"/>
      <c r="H15" s="13"/>
      <c r="I15" s="56"/>
      <c r="J15" s="14"/>
    </row>
    <row r="16" spans="1:17" customFormat="1" x14ac:dyDescent="0.3">
      <c r="A16" s="42" t="s">
        <v>329</v>
      </c>
      <c r="B16" s="54">
        <v>0</v>
      </c>
      <c r="C16" s="45">
        <f>-'BC Balance Comprobación'!D159</f>
        <v>-9000</v>
      </c>
      <c r="D16" s="13"/>
      <c r="E16" s="13">
        <v>0</v>
      </c>
      <c r="F16" s="14"/>
      <c r="G16" s="52"/>
      <c r="H16" s="13">
        <f t="shared" ref="H16:H23" si="1">+C16+E16</f>
        <v>-9000</v>
      </c>
      <c r="I16" s="56"/>
      <c r="J16" s="14"/>
    </row>
    <row r="17" spans="1:21" x14ac:dyDescent="0.3">
      <c r="A17" s="42" t="s">
        <v>328</v>
      </c>
      <c r="B17" s="45"/>
      <c r="C17" s="45">
        <f>-'BC Balance Comprobación'!D45</f>
        <v>-18231168.260000002</v>
      </c>
      <c r="D17" s="48"/>
      <c r="E17" s="45">
        <v>-83368429</v>
      </c>
      <c r="F17" s="31"/>
      <c r="G17" s="52">
        <v>-5376484.4800000004</v>
      </c>
      <c r="H17" s="11">
        <f t="shared" si="1"/>
        <v>-101599597.26000001</v>
      </c>
      <c r="I17" s="56">
        <v>-10647791.65</v>
      </c>
      <c r="J17" s="56">
        <v>-9167463.0500000007</v>
      </c>
      <c r="K17" s="56">
        <v>-8447211.75</v>
      </c>
      <c r="L17" s="56">
        <v>-7744007.1299999999</v>
      </c>
      <c r="M17" s="26">
        <f>+C17+G17+I17+J17+K17+L17</f>
        <v>-59614126.32</v>
      </c>
      <c r="Q17" s="35"/>
      <c r="R17" s="26"/>
      <c r="S17" s="26"/>
    </row>
    <row r="18" spans="1:21" customFormat="1" x14ac:dyDescent="0.3">
      <c r="A18" s="42" t="s">
        <v>327</v>
      </c>
      <c r="B18" s="52"/>
      <c r="C18" s="52">
        <f>-'BC Balance Comprobación'!D58</f>
        <v>-1263505.17</v>
      </c>
      <c r="D18" s="53"/>
      <c r="E18" s="52">
        <v>-8951787</v>
      </c>
      <c r="F18" s="51"/>
      <c r="G18" s="52">
        <v>-698885.18</v>
      </c>
      <c r="H18" s="13">
        <f t="shared" si="1"/>
        <v>-10215292.17</v>
      </c>
      <c r="I18" s="56">
        <v>-1473063.08</v>
      </c>
      <c r="J18" s="56">
        <v>-1509455.22</v>
      </c>
      <c r="K18" s="56">
        <v>-1173946</v>
      </c>
      <c r="L18" s="56">
        <v>-1076106.99</v>
      </c>
      <c r="M18" s="69">
        <f>+C18+G18+J18+K18+L18</f>
        <v>-5721898.5600000005</v>
      </c>
      <c r="R18" s="33"/>
      <c r="S18" s="33"/>
    </row>
    <row r="19" spans="1:21" customFormat="1" hidden="1" x14ac:dyDescent="0.3">
      <c r="A19" s="54" t="s">
        <v>326</v>
      </c>
      <c r="B19" s="54"/>
      <c r="C19" s="52">
        <f>-'[2]BC Balance Comprobación'!V3</f>
        <v>0</v>
      </c>
      <c r="D19" s="13"/>
      <c r="E19" s="13">
        <v>0</v>
      </c>
      <c r="F19" s="14"/>
      <c r="G19" s="13"/>
      <c r="H19" s="13">
        <f t="shared" si="1"/>
        <v>0</v>
      </c>
      <c r="I19" s="56">
        <v>0</v>
      </c>
      <c r="J19" s="56">
        <v>0</v>
      </c>
      <c r="K19" s="56">
        <v>0</v>
      </c>
      <c r="L19" s="56">
        <v>0</v>
      </c>
      <c r="S19" s="33"/>
    </row>
    <row r="20" spans="1:21" x14ac:dyDescent="0.3">
      <c r="A20" s="42" t="s">
        <v>325</v>
      </c>
      <c r="B20" s="45"/>
      <c r="C20" s="52">
        <f>-'BC Balance Comprobación'!D85-'BC Balance Comprobación'!D105</f>
        <v>-8603091.7290677968</v>
      </c>
      <c r="D20" s="48"/>
      <c r="E20" s="45">
        <v>-60758429</v>
      </c>
      <c r="F20" s="31"/>
      <c r="G20" s="13">
        <v>-65427</v>
      </c>
      <c r="H20" s="11">
        <f t="shared" si="1"/>
        <v>-69361520.729067802</v>
      </c>
      <c r="I20" s="56">
        <v>-7392769.4500000002</v>
      </c>
      <c r="J20" s="56">
        <v>-4770136.2300000004</v>
      </c>
      <c r="K20" s="56">
        <v>-8662082.6600000001</v>
      </c>
      <c r="L20" s="56">
        <v>-3176471.1399999997</v>
      </c>
      <c r="M20" s="35">
        <f>+C20+G20+I20+J20+K20+L20</f>
        <v>-32669978.209067799</v>
      </c>
      <c r="P20" s="35"/>
      <c r="R20" s="35"/>
    </row>
    <row r="21" spans="1:21" customFormat="1" hidden="1" x14ac:dyDescent="0.25">
      <c r="A21" s="54" t="s">
        <v>324</v>
      </c>
      <c r="B21" s="54"/>
      <c r="C21" s="13">
        <v>0</v>
      </c>
      <c r="D21" s="13"/>
      <c r="E21" s="13">
        <v>0</v>
      </c>
      <c r="F21" s="14"/>
      <c r="G21" s="45"/>
      <c r="H21" s="13">
        <f t="shared" si="1"/>
        <v>0</v>
      </c>
      <c r="I21" s="56"/>
      <c r="J21" s="14"/>
      <c r="Q21" s="33"/>
    </row>
    <row r="22" spans="1:21" customFormat="1" hidden="1" x14ac:dyDescent="0.25">
      <c r="A22" s="54" t="s">
        <v>323</v>
      </c>
      <c r="B22" s="54">
        <v>-288795</v>
      </c>
      <c r="C22" s="13">
        <v>0</v>
      </c>
      <c r="D22" s="13"/>
      <c r="E22" s="13">
        <v>0</v>
      </c>
      <c r="F22" s="14"/>
      <c r="G22" s="45"/>
      <c r="H22" s="13">
        <f t="shared" si="1"/>
        <v>0</v>
      </c>
      <c r="I22" s="56"/>
      <c r="J22" s="14"/>
      <c r="M22" s="69"/>
      <c r="S22" s="33"/>
    </row>
    <row r="23" spans="1:21" hidden="1" x14ac:dyDescent="0.25">
      <c r="A23" s="42" t="s">
        <v>322</v>
      </c>
      <c r="B23" s="45"/>
      <c r="C23" s="45"/>
      <c r="D23" s="48"/>
      <c r="E23" s="45">
        <v>-8548025</v>
      </c>
      <c r="F23" s="68"/>
      <c r="G23" s="45"/>
      <c r="H23" s="11">
        <f t="shared" si="1"/>
        <v>-8548025</v>
      </c>
      <c r="I23" s="56"/>
      <c r="U23" s="35"/>
    </row>
    <row r="24" spans="1:21" hidden="1" x14ac:dyDescent="0.25">
      <c r="A24" s="42"/>
      <c r="B24" s="45"/>
      <c r="C24" s="45"/>
      <c r="D24" s="48"/>
      <c r="E24" s="45"/>
      <c r="F24" s="68"/>
      <c r="G24" s="48"/>
      <c r="H24" s="11"/>
      <c r="I24" s="56"/>
    </row>
    <row r="25" spans="1:21" ht="24.75" customHeight="1" x14ac:dyDescent="0.3">
      <c r="A25" s="42" t="s">
        <v>321</v>
      </c>
      <c r="B25" s="45"/>
      <c r="C25" s="45"/>
      <c r="D25" s="48"/>
      <c r="E25" s="45"/>
      <c r="F25" s="68"/>
      <c r="G25" s="52"/>
      <c r="H25" s="11"/>
      <c r="I25" s="56"/>
      <c r="Q25" s="27"/>
    </row>
    <row r="26" spans="1:21" x14ac:dyDescent="0.25">
      <c r="A26" s="191" t="s">
        <v>320</v>
      </c>
      <c r="B26" s="48"/>
      <c r="C26" s="48">
        <f>SUM(C7:C25)</f>
        <v>-5547817.1090677977</v>
      </c>
      <c r="D26" s="48"/>
      <c r="E26" s="48">
        <f t="shared" ref="E26:L26" si="2">SUM(E7:E25)</f>
        <v>-161626670</v>
      </c>
      <c r="F26" s="48">
        <f t="shared" si="2"/>
        <v>0</v>
      </c>
      <c r="G26" s="48">
        <f t="shared" si="2"/>
        <v>6884754.3399999999</v>
      </c>
      <c r="H26" s="48">
        <f t="shared" si="2"/>
        <v>-167174487.1090678</v>
      </c>
      <c r="I26" s="48">
        <f t="shared" si="2"/>
        <v>3986244.8199999994</v>
      </c>
      <c r="J26" s="48">
        <f t="shared" si="2"/>
        <v>-1394437.8400000008</v>
      </c>
      <c r="K26" s="48">
        <f t="shared" si="2"/>
        <v>5203342.59</v>
      </c>
      <c r="L26" s="48">
        <f t="shared" si="2"/>
        <v>2707876.74</v>
      </c>
      <c r="P26" s="35"/>
      <c r="Q26" s="27"/>
    </row>
    <row r="27" spans="1:21" x14ac:dyDescent="0.3">
      <c r="A27" s="31" t="s">
        <v>11</v>
      </c>
      <c r="B27" s="45"/>
      <c r="C27" s="45"/>
      <c r="D27" s="48"/>
      <c r="E27" s="45"/>
      <c r="F27" s="31"/>
      <c r="G27" s="52"/>
      <c r="H27" s="1" t="s">
        <v>291</v>
      </c>
      <c r="I27" s="56"/>
      <c r="J27" s="67"/>
      <c r="P27" s="35"/>
      <c r="Q27" s="27"/>
    </row>
    <row r="28" spans="1:21" x14ac:dyDescent="0.25">
      <c r="A28" s="66" t="s">
        <v>319</v>
      </c>
      <c r="B28" s="65"/>
      <c r="C28" s="65"/>
      <c r="D28" s="64"/>
      <c r="E28" s="48"/>
      <c r="F28" s="31"/>
      <c r="G28" s="48"/>
      <c r="H28" s="11"/>
      <c r="I28" s="56"/>
    </row>
    <row r="29" spans="1:21" customFormat="1" hidden="1" x14ac:dyDescent="0.25">
      <c r="A29" s="54" t="s">
        <v>318</v>
      </c>
      <c r="B29" s="54">
        <v>44585</v>
      </c>
      <c r="C29" s="13">
        <v>0</v>
      </c>
      <c r="D29" s="13"/>
      <c r="E29" s="13">
        <v>0</v>
      </c>
      <c r="F29" s="14"/>
      <c r="G29" s="45">
        <v>-67114.9375</v>
      </c>
      <c r="H29" s="13">
        <f>+C29+E29</f>
        <v>0</v>
      </c>
      <c r="I29" s="56">
        <v>-460985.64999999997</v>
      </c>
      <c r="J29" s="56">
        <v>-2046096.781</v>
      </c>
      <c r="K29" s="45">
        <v>-1106252.8999999999</v>
      </c>
      <c r="L29" s="56">
        <v>-1989590.89</v>
      </c>
    </row>
    <row r="30" spans="1:21" customFormat="1" hidden="1" x14ac:dyDescent="0.25">
      <c r="A30" s="54" t="s">
        <v>317</v>
      </c>
      <c r="B30" s="54"/>
      <c r="C30" s="13">
        <v>0</v>
      </c>
      <c r="D30" s="13"/>
      <c r="E30" s="13">
        <v>0</v>
      </c>
      <c r="F30" s="14"/>
      <c r="G30" s="48"/>
      <c r="H30" s="13">
        <f>+C30+E30</f>
        <v>0</v>
      </c>
      <c r="I30" s="56"/>
      <c r="J30" s="14"/>
    </row>
    <row r="31" spans="1:21" customFormat="1" hidden="1" x14ac:dyDescent="0.25">
      <c r="A31" s="54" t="s">
        <v>316</v>
      </c>
      <c r="B31" s="54">
        <v>44585</v>
      </c>
      <c r="C31" s="13">
        <v>0</v>
      </c>
      <c r="D31" s="13"/>
      <c r="E31" s="13">
        <v>0</v>
      </c>
      <c r="F31" s="14"/>
      <c r="G31" s="13"/>
      <c r="H31" s="13">
        <f>+C31+E31</f>
        <v>0</v>
      </c>
      <c r="I31" s="63"/>
      <c r="J31" s="14"/>
    </row>
    <row r="32" spans="1:21" customFormat="1" hidden="1" x14ac:dyDescent="0.25">
      <c r="A32" s="54" t="s">
        <v>315</v>
      </c>
      <c r="B32" s="54"/>
      <c r="C32" s="13">
        <v>0</v>
      </c>
      <c r="D32" s="13"/>
      <c r="E32" s="13">
        <v>0</v>
      </c>
      <c r="F32" s="14"/>
      <c r="G32" s="13"/>
      <c r="H32" s="13">
        <f>+C32+E32</f>
        <v>0</v>
      </c>
      <c r="I32" s="45"/>
      <c r="J32" s="14"/>
    </row>
    <row r="33" spans="1:27" customFormat="1" hidden="1" x14ac:dyDescent="0.25">
      <c r="A33" s="54" t="s">
        <v>314</v>
      </c>
      <c r="B33" s="54">
        <v>3746146.709999999</v>
      </c>
      <c r="C33" s="13">
        <v>0</v>
      </c>
      <c r="D33" s="13"/>
      <c r="E33" s="13">
        <v>0</v>
      </c>
      <c r="F33" s="14"/>
      <c r="G33" s="13"/>
      <c r="H33" s="13">
        <f>+C33+E33</f>
        <v>0</v>
      </c>
      <c r="I33" s="48"/>
      <c r="J33" s="14"/>
    </row>
    <row r="34" spans="1:27" customFormat="1" hidden="1" x14ac:dyDescent="0.3">
      <c r="A34" s="42" t="s">
        <v>302</v>
      </c>
      <c r="B34" s="62"/>
      <c r="C34" s="45"/>
      <c r="D34" s="61"/>
      <c r="E34" s="52">
        <v>2699113</v>
      </c>
      <c r="F34" s="51"/>
      <c r="G34" s="13"/>
      <c r="H34" s="13" t="e">
        <f>+#REF!+E34</f>
        <v>#REF!</v>
      </c>
      <c r="I34" s="34"/>
      <c r="J34" s="14"/>
      <c r="Q34" s="34"/>
      <c r="S34" s="34"/>
    </row>
    <row r="35" spans="1:27" customFormat="1" x14ac:dyDescent="0.3">
      <c r="A35" s="57"/>
      <c r="B35" s="52"/>
      <c r="C35" s="52"/>
      <c r="D35" s="53"/>
      <c r="E35" s="52"/>
      <c r="F35" s="51"/>
      <c r="G35" s="45"/>
      <c r="H35" s="13"/>
      <c r="I35" s="13"/>
      <c r="J35" s="25"/>
      <c r="Q35" s="34"/>
      <c r="R35" s="34"/>
    </row>
    <row r="36" spans="1:27" x14ac:dyDescent="0.25">
      <c r="A36" s="42" t="s">
        <v>313</v>
      </c>
      <c r="B36" s="45"/>
      <c r="C36" s="45">
        <v>3487537.87</v>
      </c>
      <c r="D36" s="48"/>
      <c r="E36" s="45">
        <v>-12714328.18</v>
      </c>
      <c r="F36" s="31"/>
      <c r="H36" s="11">
        <f t="shared" ref="H36:H42" si="3">+C36+E36</f>
        <v>-9226790.3099999987</v>
      </c>
      <c r="I36" s="13"/>
      <c r="J36" s="11"/>
      <c r="P36" s="35"/>
      <c r="Q36" s="26"/>
      <c r="R36" s="26"/>
      <c r="S36" s="60"/>
    </row>
    <row r="37" spans="1:27" ht="15" hidden="1" x14ac:dyDescent="0.25">
      <c r="A37" s="54" t="s">
        <v>312</v>
      </c>
      <c r="B37" s="54"/>
      <c r="C37" s="11"/>
      <c r="D37" s="11"/>
      <c r="E37" s="11"/>
      <c r="H37" s="11">
        <f t="shared" si="3"/>
        <v>0</v>
      </c>
      <c r="I37" s="13"/>
      <c r="R37" s="26">
        <v>7903734.4300000006</v>
      </c>
    </row>
    <row r="38" spans="1:27" customFormat="1" ht="15" hidden="1" x14ac:dyDescent="0.25">
      <c r="A38" s="54" t="s">
        <v>311</v>
      </c>
      <c r="B38" s="54"/>
      <c r="C38" s="13"/>
      <c r="D38" s="13"/>
      <c r="E38" s="13">
        <v>0</v>
      </c>
      <c r="F38" s="14"/>
      <c r="G38" s="1"/>
      <c r="H38" s="13">
        <f t="shared" si="3"/>
        <v>0</v>
      </c>
      <c r="I38" s="1"/>
      <c r="J38" s="14"/>
    </row>
    <row r="39" spans="1:27" customFormat="1" ht="15" hidden="1" x14ac:dyDescent="0.25">
      <c r="A39" s="54" t="s">
        <v>310</v>
      </c>
      <c r="B39" s="54"/>
      <c r="C39" s="13">
        <v>0</v>
      </c>
      <c r="D39" s="13"/>
      <c r="E39" s="13">
        <v>0</v>
      </c>
      <c r="F39" s="14"/>
      <c r="G39" s="1"/>
      <c r="H39" s="13">
        <f t="shared" si="3"/>
        <v>0</v>
      </c>
      <c r="I39" s="1"/>
      <c r="J39" s="14"/>
    </row>
    <row r="40" spans="1:27" customFormat="1" hidden="1" x14ac:dyDescent="0.25">
      <c r="A40" s="54" t="s">
        <v>309</v>
      </c>
      <c r="B40" s="54"/>
      <c r="C40" s="13">
        <v>0</v>
      </c>
      <c r="D40" s="13"/>
      <c r="E40" s="13">
        <v>0</v>
      </c>
      <c r="F40" s="14"/>
      <c r="G40" s="1"/>
      <c r="H40" s="13">
        <f t="shared" si="3"/>
        <v>0</v>
      </c>
      <c r="I40" s="56"/>
      <c r="J40" s="14"/>
    </row>
    <row r="41" spans="1:27" customFormat="1" ht="20.25" hidden="1" x14ac:dyDescent="0.25">
      <c r="A41" s="186" t="s">
        <v>308</v>
      </c>
      <c r="B41" s="54"/>
      <c r="C41" s="185"/>
      <c r="D41" s="13"/>
      <c r="E41" s="13">
        <v>0</v>
      </c>
      <c r="F41" s="14"/>
      <c r="G41" s="1"/>
      <c r="H41" s="13">
        <f t="shared" si="3"/>
        <v>0</v>
      </c>
      <c r="I41" s="1"/>
      <c r="J41" s="14"/>
      <c r="S41" s="60"/>
    </row>
    <row r="42" spans="1:27" customFormat="1" ht="20.25" hidden="1" x14ac:dyDescent="0.3">
      <c r="A42" s="186" t="s">
        <v>296</v>
      </c>
      <c r="B42" s="52"/>
      <c r="C42" s="187"/>
      <c r="D42" s="53"/>
      <c r="E42" s="52">
        <v>-1029719</v>
      </c>
      <c r="F42" s="59"/>
      <c r="G42" s="1"/>
      <c r="H42" s="13">
        <f t="shared" si="3"/>
        <v>-1029719</v>
      </c>
      <c r="I42" s="1"/>
      <c r="J42" s="14"/>
      <c r="S42" s="34"/>
    </row>
    <row r="43" spans="1:27" customFormat="1" x14ac:dyDescent="0.3">
      <c r="A43" s="31"/>
      <c r="B43" s="52"/>
      <c r="C43" s="52"/>
      <c r="D43" s="53"/>
      <c r="E43" s="52"/>
      <c r="F43" s="59"/>
      <c r="G43" s="48"/>
      <c r="H43" s="13"/>
      <c r="I43" s="1"/>
      <c r="J43" s="14"/>
    </row>
    <row r="44" spans="1:27" x14ac:dyDescent="0.25">
      <c r="A44" s="191" t="s">
        <v>307</v>
      </c>
      <c r="B44" s="48"/>
      <c r="C44" s="48">
        <f>SUM(C29:C43)</f>
        <v>3487537.87</v>
      </c>
      <c r="D44" s="48"/>
      <c r="E44" s="48">
        <f t="shared" ref="E44:L44" si="4">SUM(E29:E43)</f>
        <v>-11044934.18</v>
      </c>
      <c r="F44" s="48">
        <f t="shared" si="4"/>
        <v>0</v>
      </c>
      <c r="G44" s="48">
        <f t="shared" si="4"/>
        <v>-67114.9375</v>
      </c>
      <c r="H44" s="48" t="e">
        <f t="shared" si="4"/>
        <v>#REF!</v>
      </c>
      <c r="I44" s="48">
        <f t="shared" si="4"/>
        <v>-460985.64999999997</v>
      </c>
      <c r="J44" s="48">
        <f t="shared" si="4"/>
        <v>-2046096.781</v>
      </c>
      <c r="K44" s="48">
        <f t="shared" si="4"/>
        <v>-1106252.8999999999</v>
      </c>
      <c r="L44" s="48">
        <f t="shared" si="4"/>
        <v>-1989590.89</v>
      </c>
    </row>
    <row r="45" spans="1:27" x14ac:dyDescent="0.25">
      <c r="B45" s="45"/>
      <c r="C45" s="45"/>
      <c r="D45" s="48"/>
      <c r="E45" s="45"/>
      <c r="F45" s="31"/>
      <c r="G45" s="45"/>
      <c r="J45" s="21"/>
      <c r="X45" s="27"/>
      <c r="Z45" s="27"/>
      <c r="AA45" s="26"/>
    </row>
    <row r="46" spans="1:27" customFormat="1" ht="21" x14ac:dyDescent="0.25">
      <c r="A46" s="192" t="s">
        <v>306</v>
      </c>
      <c r="B46" s="48"/>
      <c r="C46" s="48"/>
      <c r="D46" s="48"/>
      <c r="E46" s="45"/>
      <c r="F46" s="31"/>
      <c r="G46" s="44"/>
      <c r="H46" s="11">
        <f>+C46+E46</f>
        <v>0</v>
      </c>
      <c r="I46" s="48"/>
      <c r="J46" s="21"/>
      <c r="X46" s="28"/>
      <c r="Z46" s="28"/>
      <c r="AA46" s="28"/>
    </row>
    <row r="47" spans="1:27" customFormat="1" x14ac:dyDescent="0.3">
      <c r="A47" s="57" t="s">
        <v>390</v>
      </c>
      <c r="B47" s="54"/>
      <c r="C47" s="193"/>
      <c r="D47" s="13"/>
      <c r="E47" s="13">
        <v>0</v>
      </c>
      <c r="F47" s="14"/>
      <c r="G47" s="13">
        <v>6100158.8799999999</v>
      </c>
      <c r="H47">
        <f>+C47+E47</f>
        <v>0</v>
      </c>
      <c r="I47" s="34">
        <v>4301473.09</v>
      </c>
      <c r="J47" s="34">
        <v>1193664.42</v>
      </c>
      <c r="K47" s="34">
        <v>881693.84</v>
      </c>
      <c r="L47" s="25">
        <v>509254.51</v>
      </c>
      <c r="M47" s="34">
        <f>+G47+I47+J47+K47</f>
        <v>12476990.229999999</v>
      </c>
      <c r="P47" s="34"/>
      <c r="Q47" s="34"/>
      <c r="R47" s="28"/>
    </row>
    <row r="48" spans="1:27" customFormat="1" ht="15" hidden="1" x14ac:dyDescent="0.25">
      <c r="A48" s="54" t="s">
        <v>305</v>
      </c>
      <c r="B48" s="54"/>
      <c r="C48" s="13"/>
      <c r="D48" s="13"/>
      <c r="E48" s="13">
        <v>0</v>
      </c>
      <c r="F48" s="14"/>
      <c r="H48">
        <f>+C48+E48</f>
        <v>0</v>
      </c>
      <c r="J48" s="14"/>
      <c r="K48" s="34"/>
      <c r="L48" s="28"/>
      <c r="O48" s="34">
        <f>+C53+O53</f>
        <v>-16694266.419999998</v>
      </c>
      <c r="Q48" s="34"/>
    </row>
    <row r="49" spans="1:21" customFormat="1" ht="15" hidden="1" x14ac:dyDescent="0.25">
      <c r="A49" s="54" t="s">
        <v>304</v>
      </c>
      <c r="B49" s="54"/>
      <c r="C49" s="13"/>
      <c r="D49" s="13"/>
      <c r="E49" s="13">
        <v>0</v>
      </c>
      <c r="F49" s="14"/>
      <c r="G49" s="13">
        <v>-14298087</v>
      </c>
      <c r="H49">
        <f>+C49+E49</f>
        <v>0</v>
      </c>
      <c r="J49" s="14"/>
      <c r="L49" s="28"/>
    </row>
    <row r="50" spans="1:21" customFormat="1" ht="15" hidden="1" x14ac:dyDescent="0.25">
      <c r="A50" s="58" t="s">
        <v>303</v>
      </c>
      <c r="B50" s="54"/>
      <c r="C50" s="13"/>
      <c r="D50" s="13"/>
      <c r="E50" s="13">
        <v>0</v>
      </c>
      <c r="F50" s="14"/>
      <c r="H50">
        <f>+C50+E50</f>
        <v>0</v>
      </c>
      <c r="J50" s="14"/>
      <c r="L50" s="28"/>
      <c r="P50" s="34"/>
      <c r="R50" s="34"/>
    </row>
    <row r="51" spans="1:21" customFormat="1" ht="16.5" hidden="1" customHeight="1" x14ac:dyDescent="0.3">
      <c r="A51" s="42" t="s">
        <v>302</v>
      </c>
      <c r="B51" s="52"/>
      <c r="C51" s="45"/>
      <c r="D51" s="53"/>
      <c r="E51" s="52">
        <v>0</v>
      </c>
      <c r="F51" s="51"/>
      <c r="H51">
        <f>+G58+E51</f>
        <v>0</v>
      </c>
      <c r="J51" s="14"/>
      <c r="K51" s="33"/>
      <c r="L51" s="28"/>
      <c r="Q51" s="28"/>
    </row>
    <row r="52" spans="1:21" customFormat="1" hidden="1" x14ac:dyDescent="0.3">
      <c r="A52" s="57"/>
      <c r="B52" s="52"/>
      <c r="C52" s="1"/>
      <c r="D52" s="53"/>
      <c r="E52" s="52"/>
      <c r="F52" s="51"/>
      <c r="G52" s="13"/>
      <c r="H52" s="13"/>
      <c r="I52" s="13"/>
      <c r="J52" s="14"/>
      <c r="L52" s="28"/>
      <c r="Q52" s="28"/>
      <c r="R52" s="34"/>
      <c r="U52" s="28"/>
    </row>
    <row r="53" spans="1:21" customFormat="1" x14ac:dyDescent="0.25">
      <c r="A53" s="42" t="s">
        <v>301</v>
      </c>
      <c r="B53" s="54"/>
      <c r="C53" s="86">
        <v>-5775895.5300000003</v>
      </c>
      <c r="D53" s="13"/>
      <c r="E53" s="13">
        <v>0</v>
      </c>
      <c r="F53" s="14"/>
      <c r="G53" s="14"/>
      <c r="H53" s="13">
        <f>+G60+E53</f>
        <v>0</v>
      </c>
      <c r="I53" s="56">
        <v>-9090236.3200000003</v>
      </c>
      <c r="J53" s="56">
        <v>-4217299.88</v>
      </c>
      <c r="K53" s="56">
        <v>-7616653.459999999</v>
      </c>
      <c r="L53" s="20">
        <v>-873386.32</v>
      </c>
      <c r="M53" s="34">
        <f>+C53+I53+J53+K53+L53</f>
        <v>-27573471.509999998</v>
      </c>
      <c r="N53" s="56">
        <v>16655100.619999999</v>
      </c>
      <c r="O53" s="34">
        <f>+M53+N53</f>
        <v>-10918370.889999999</v>
      </c>
      <c r="P53" s="34"/>
      <c r="R53" s="34"/>
    </row>
    <row r="54" spans="1:21" customFormat="1" ht="37.5" x14ac:dyDescent="0.25">
      <c r="A54" s="42" t="s">
        <v>300</v>
      </c>
      <c r="B54" s="54"/>
      <c r="C54" s="86"/>
      <c r="D54" s="13"/>
      <c r="E54" s="13">
        <v>0</v>
      </c>
      <c r="F54" s="14"/>
      <c r="G54" s="14"/>
      <c r="H54" s="13">
        <f>+G61+E54</f>
        <v>-1380288.7175000003</v>
      </c>
      <c r="I54" s="25"/>
      <c r="J54" s="14"/>
      <c r="L54" s="28"/>
    </row>
    <row r="55" spans="1:21" customFormat="1" x14ac:dyDescent="0.25">
      <c r="A55" s="42" t="s">
        <v>299</v>
      </c>
      <c r="B55" s="54"/>
      <c r="C55" s="31"/>
      <c r="D55" s="13"/>
      <c r="E55" s="13">
        <v>0</v>
      </c>
      <c r="F55" s="14"/>
      <c r="G55" s="14"/>
      <c r="H55" s="13">
        <f>+G62+E55</f>
        <v>20979065.719999999</v>
      </c>
      <c r="I55" s="14"/>
      <c r="J55" s="14"/>
      <c r="L55" s="28"/>
      <c r="O55" s="55">
        <v>-478574.57</v>
      </c>
      <c r="Q55" s="28"/>
      <c r="R55" s="11"/>
      <c r="S55" s="33"/>
    </row>
    <row r="56" spans="1:21" customFormat="1" x14ac:dyDescent="0.25">
      <c r="A56" s="42" t="s">
        <v>298</v>
      </c>
      <c r="B56" s="54"/>
      <c r="C56" s="31"/>
      <c r="D56" s="13"/>
      <c r="E56" s="13">
        <v>0</v>
      </c>
      <c r="F56" s="14"/>
      <c r="G56" s="14"/>
      <c r="H56" s="13">
        <f>+G63+E56</f>
        <v>19598777.002499998</v>
      </c>
      <c r="I56" s="25"/>
      <c r="J56" s="14"/>
      <c r="L56" s="28"/>
      <c r="O56" s="32">
        <f>+O53-O55</f>
        <v>-10439796.319999998</v>
      </c>
    </row>
    <row r="57" spans="1:21" customFormat="1" x14ac:dyDescent="0.25">
      <c r="A57" s="42" t="s">
        <v>297</v>
      </c>
      <c r="B57" s="54"/>
      <c r="C57" s="31"/>
      <c r="D57" s="13"/>
      <c r="E57" s="13">
        <v>0</v>
      </c>
      <c r="F57" s="14"/>
      <c r="G57" s="14"/>
      <c r="H57" s="13">
        <f>+G65+E57</f>
        <v>0</v>
      </c>
      <c r="I57" s="13"/>
      <c r="J57" s="14"/>
      <c r="L57" s="28"/>
      <c r="M57" s="34"/>
      <c r="N57" s="34"/>
    </row>
    <row r="58" spans="1:21" customFormat="1" x14ac:dyDescent="0.25">
      <c r="A58" s="42" t="s">
        <v>296</v>
      </c>
      <c r="B58" s="54"/>
      <c r="C58" s="31"/>
      <c r="D58" s="13"/>
      <c r="E58" s="13">
        <v>0</v>
      </c>
      <c r="F58" s="23"/>
      <c r="G58" s="24"/>
      <c r="H58" s="13" t="e">
        <f>+G66+E58</f>
        <v>#VALUE!</v>
      </c>
      <c r="I58" s="14"/>
      <c r="J58" s="14"/>
    </row>
    <row r="59" spans="1:21" customFormat="1" x14ac:dyDescent="0.3">
      <c r="A59" s="194" t="s">
        <v>295</v>
      </c>
      <c r="B59" s="48"/>
      <c r="C59" s="48">
        <f>SUM(C47:C58)</f>
        <v>-5775895.5300000003</v>
      </c>
      <c r="D59" s="48"/>
      <c r="E59" s="48">
        <f t="shared" ref="E59:L59" si="5">SUM(E47:E58)</f>
        <v>0</v>
      </c>
      <c r="F59" s="48">
        <f t="shared" si="5"/>
        <v>0</v>
      </c>
      <c r="G59" s="48">
        <f t="shared" si="5"/>
        <v>-8197928.1200000001</v>
      </c>
      <c r="H59" s="48" t="e">
        <f t="shared" si="5"/>
        <v>#VALUE!</v>
      </c>
      <c r="I59" s="48">
        <f t="shared" si="5"/>
        <v>-4788763.2300000004</v>
      </c>
      <c r="J59" s="48">
        <f t="shared" si="5"/>
        <v>-3023635.46</v>
      </c>
      <c r="K59" s="48">
        <f t="shared" si="5"/>
        <v>-6734959.6199999992</v>
      </c>
      <c r="L59" s="48">
        <f t="shared" si="5"/>
        <v>-364131.80999999994</v>
      </c>
    </row>
    <row r="60" spans="1:21" customFormat="1" x14ac:dyDescent="0.3">
      <c r="A60" s="51"/>
      <c r="B60" s="52"/>
      <c r="C60" s="52"/>
      <c r="D60" s="53"/>
      <c r="E60" s="52"/>
      <c r="F60" s="51"/>
      <c r="G60" s="13"/>
      <c r="H60" s="13" t="s">
        <v>291</v>
      </c>
      <c r="I60" s="13"/>
      <c r="J60" s="14"/>
    </row>
    <row r="61" spans="1:21" x14ac:dyDescent="0.25">
      <c r="A61" s="31" t="s">
        <v>294</v>
      </c>
      <c r="B61" s="45"/>
      <c r="C61" s="45">
        <f>+C26+C44+C59</f>
        <v>-7836174.7690677978</v>
      </c>
      <c r="D61" s="45">
        <f>+D26+D44+D59</f>
        <v>0</v>
      </c>
      <c r="E61" s="45">
        <f>+E26+E44+E59</f>
        <v>-172671604.18000001</v>
      </c>
      <c r="F61" s="45">
        <f>+F26+F44+F59</f>
        <v>0</v>
      </c>
      <c r="G61" s="45">
        <f>+G26+G44+G59</f>
        <v>-1380288.7175000003</v>
      </c>
      <c r="H61" s="11">
        <f>+C61+E61</f>
        <v>-180507778.9490678</v>
      </c>
      <c r="I61" s="45">
        <f>+I26+I44+I59</f>
        <v>-1263504.060000001</v>
      </c>
      <c r="J61" s="45">
        <f>+J26+J44+J59</f>
        <v>-6464170.0810000002</v>
      </c>
      <c r="K61" s="45">
        <f>+K26+K44+K59</f>
        <v>-2637869.9299999992</v>
      </c>
      <c r="L61" s="45">
        <f>+L26+L44+L59</f>
        <v>354154.04000000039</v>
      </c>
    </row>
    <row r="62" spans="1:21" ht="23.25" x14ac:dyDescent="0.25">
      <c r="A62" s="31" t="s">
        <v>293</v>
      </c>
      <c r="B62" s="44"/>
      <c r="C62" s="44">
        <v>20904842.760000005</v>
      </c>
      <c r="D62" s="50"/>
      <c r="E62" s="44">
        <v>5853191.9199999999</v>
      </c>
      <c r="F62" s="31"/>
      <c r="G62" s="44">
        <v>20979065.719999999</v>
      </c>
      <c r="H62" s="11">
        <f>+C62+E62</f>
        <v>26758034.680000007</v>
      </c>
      <c r="I62" s="44">
        <v>19598777</v>
      </c>
      <c r="J62" s="44">
        <v>18335272.939999998</v>
      </c>
      <c r="K62" s="44">
        <v>11871103</v>
      </c>
      <c r="L62" s="44">
        <v>9233233</v>
      </c>
    </row>
    <row r="63" spans="1:21" ht="19.5" thickBot="1" x14ac:dyDescent="0.3">
      <c r="A63" s="31" t="s">
        <v>292</v>
      </c>
      <c r="B63" s="49"/>
      <c r="C63" s="49">
        <f>SUM(C61:C62)</f>
        <v>13068667.990932208</v>
      </c>
      <c r="D63" s="48"/>
      <c r="E63" s="49">
        <f>SUM(E61:E62)</f>
        <v>-166818412.26000002</v>
      </c>
      <c r="F63" s="31"/>
      <c r="G63" s="49">
        <f>SUM(G61:G62)</f>
        <v>19598777.002499998</v>
      </c>
      <c r="H63" s="11">
        <f>+C63+E63</f>
        <v>-153749744.26906782</v>
      </c>
      <c r="I63" s="49">
        <f>SUM(I61:I62)</f>
        <v>18335272.939999998</v>
      </c>
      <c r="J63" s="49">
        <f>SUM(J61:J62)</f>
        <v>11871102.858999997</v>
      </c>
      <c r="K63" s="49">
        <f>SUM(K61:K62)</f>
        <v>9233233.0700000003</v>
      </c>
      <c r="L63" s="49">
        <f>SUM(L61:L62)</f>
        <v>9587387.040000001</v>
      </c>
    </row>
    <row r="64" spans="1:21" ht="19.5" thickTop="1" x14ac:dyDescent="0.25">
      <c r="B64" s="48"/>
      <c r="C64" s="48"/>
      <c r="D64" s="48"/>
      <c r="E64" s="48"/>
      <c r="F64" s="31"/>
      <c r="G64" s="48"/>
      <c r="H64" s="11"/>
      <c r="I64" s="48"/>
      <c r="J64" s="48"/>
      <c r="K64" s="48"/>
      <c r="L64" s="48"/>
    </row>
    <row r="65" spans="1:13" x14ac:dyDescent="0.25">
      <c r="B65" s="31"/>
      <c r="C65" s="47"/>
      <c r="D65" s="47"/>
      <c r="E65" s="47"/>
      <c r="F65" s="31"/>
      <c r="G65" s="13"/>
      <c r="H65" s="1" t="s">
        <v>291</v>
      </c>
      <c r="I65" s="11"/>
    </row>
    <row r="66" spans="1:13" ht="21" hidden="1" x14ac:dyDescent="0.25">
      <c r="A66" s="46" t="s">
        <v>264</v>
      </c>
      <c r="B66" s="46"/>
      <c r="C66" s="45"/>
      <c r="D66" s="31"/>
      <c r="E66" s="45"/>
      <c r="F66" s="31"/>
      <c r="G66" s="44" t="s">
        <v>290</v>
      </c>
      <c r="M66" s="35">
        <f>+K62-J63</f>
        <v>0.14100000262260437</v>
      </c>
    </row>
    <row r="67" spans="1:13" x14ac:dyDescent="0.25">
      <c r="A67" s="205" t="s">
        <v>22</v>
      </c>
      <c r="B67" s="205"/>
      <c r="C67" s="205"/>
      <c r="D67" s="31"/>
      <c r="E67" s="31"/>
      <c r="F67" s="31"/>
      <c r="G67" s="11"/>
      <c r="I67" s="11" t="e">
        <f>+C63-G66</f>
        <v>#VALUE!</v>
      </c>
    </row>
    <row r="68" spans="1:13" x14ac:dyDescent="0.25">
      <c r="A68" s="206" t="s">
        <v>23</v>
      </c>
      <c r="B68" s="206"/>
      <c r="C68" s="206"/>
      <c r="D68" s="31"/>
      <c r="E68" s="31"/>
      <c r="F68" s="31"/>
      <c r="I68" s="20"/>
    </row>
    <row r="69" spans="1:13" hidden="1" x14ac:dyDescent="0.25">
      <c r="A69" s="208" t="s">
        <v>289</v>
      </c>
      <c r="B69" s="208"/>
      <c r="C69" s="208"/>
      <c r="D69" s="208"/>
      <c r="E69" s="208"/>
      <c r="F69" s="31"/>
      <c r="I69" s="11"/>
    </row>
    <row r="70" spans="1:13" hidden="1" x14ac:dyDescent="0.25">
      <c r="B70" s="31"/>
      <c r="D70" s="31"/>
      <c r="E70" s="31"/>
      <c r="F70" s="31"/>
      <c r="I70" s="43"/>
    </row>
    <row r="71" spans="1:13" hidden="1" x14ac:dyDescent="0.25">
      <c r="B71" s="31"/>
      <c r="D71" s="31"/>
      <c r="E71" s="31"/>
      <c r="F71" s="31"/>
      <c r="I71" s="20"/>
    </row>
    <row r="72" spans="1:13" ht="18.75" hidden="1" customHeight="1" x14ac:dyDescent="0.25">
      <c r="A72" s="207"/>
      <c r="B72" s="208"/>
      <c r="C72" s="207"/>
      <c r="D72" s="42"/>
      <c r="E72" s="42"/>
      <c r="F72" s="42"/>
    </row>
    <row r="73" spans="1:13" hidden="1" x14ac:dyDescent="0.25">
      <c r="B73" s="31"/>
      <c r="D73" s="31"/>
      <c r="E73" s="31"/>
      <c r="F73" s="31"/>
    </row>
    <row r="78" spans="1:13" x14ac:dyDescent="0.25">
      <c r="C78" s="86"/>
      <c r="D78" s="41"/>
      <c r="E78" s="16"/>
    </row>
    <row r="79" spans="1:13" x14ac:dyDescent="0.25">
      <c r="C79" s="86"/>
      <c r="D79" s="41"/>
      <c r="E79" s="16"/>
    </row>
    <row r="80" spans="1:13" x14ac:dyDescent="0.25">
      <c r="C80" s="86"/>
      <c r="D80" s="41"/>
      <c r="E80" s="16"/>
    </row>
    <row r="81" spans="3:5" x14ac:dyDescent="0.25">
      <c r="C81" s="86"/>
      <c r="D81" s="41"/>
      <c r="E81" s="16"/>
    </row>
    <row r="82" spans="3:5" x14ac:dyDescent="0.25">
      <c r="C82" s="86"/>
      <c r="D82" s="41"/>
      <c r="E82" s="16"/>
    </row>
    <row r="83" spans="3:5" x14ac:dyDescent="0.25">
      <c r="C83" s="86"/>
      <c r="D83" s="41"/>
      <c r="E83" s="16"/>
    </row>
    <row r="84" spans="3:5" x14ac:dyDescent="0.25">
      <c r="C84" s="86"/>
      <c r="D84" s="41"/>
      <c r="E84" s="16"/>
    </row>
    <row r="85" spans="3:5" x14ac:dyDescent="0.25">
      <c r="C85" s="86"/>
      <c r="D85" s="41"/>
      <c r="E85" s="16"/>
    </row>
    <row r="86" spans="3:5" x14ac:dyDescent="0.25">
      <c r="C86" s="86"/>
      <c r="D86" s="41"/>
      <c r="E86" s="16"/>
    </row>
    <row r="87" spans="3:5" x14ac:dyDescent="0.25">
      <c r="C87" s="86"/>
      <c r="D87" s="41"/>
      <c r="E87" s="16"/>
    </row>
    <row r="88" spans="3:5" x14ac:dyDescent="0.25">
      <c r="C88" s="86"/>
      <c r="D88" s="41"/>
      <c r="E88" s="16"/>
    </row>
  </sheetData>
  <autoFilter ref="A5:H66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67:C67"/>
    <mergeCell ref="A68:C68"/>
    <mergeCell ref="A72:C72"/>
    <mergeCell ref="A1:E1"/>
    <mergeCell ref="A2:E2"/>
    <mergeCell ref="A3:E3"/>
    <mergeCell ref="A69:E69"/>
  </mergeCells>
  <printOptions horizontalCentered="1"/>
  <pageMargins left="0.70866141732283472" right="0.70866141732283472" top="0.74803149606299213" bottom="0.74803149606299213" header="0.31496062992125984" footer="0.31496062992125984"/>
  <pageSetup scale="73" fitToHeight="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2:N30"/>
  <sheetViews>
    <sheetView view="pageBreakPreview" topLeftCell="C1" zoomScaleSheetLayoutView="100" workbookViewId="0">
      <selection activeCell="C7" sqref="C7"/>
    </sheetView>
  </sheetViews>
  <sheetFormatPr baseColWidth="10" defaultColWidth="11.42578125" defaultRowHeight="15" x14ac:dyDescent="0.25"/>
  <cols>
    <col min="1" max="1" width="3.7109375" style="1" customWidth="1"/>
    <col min="2" max="2" width="1.28515625" style="1" customWidth="1"/>
    <col min="3" max="3" width="48" style="1" customWidth="1"/>
    <col min="4" max="4" width="19.28515625" style="14" customWidth="1"/>
    <col min="5" max="5" width="14.7109375" style="14" customWidth="1"/>
    <col min="6" max="6" width="19.140625" style="14" customWidth="1"/>
    <col min="7" max="7" width="18.85546875" style="1" customWidth="1"/>
    <col min="8" max="8" width="19.42578125" style="1" customWidth="1"/>
    <col min="9" max="9" width="17.42578125" style="1" customWidth="1"/>
    <col min="10" max="10" width="18.140625" style="2" customWidth="1"/>
    <col min="11" max="11" width="20" style="2" customWidth="1"/>
    <col min="12" max="12" width="14.85546875" style="2" bestFit="1" customWidth="1"/>
    <col min="13" max="13" width="24" style="2" customWidth="1"/>
    <col min="14" max="14" width="15.42578125" style="2" bestFit="1" customWidth="1"/>
    <col min="15" max="16384" width="11.42578125" style="2"/>
  </cols>
  <sheetData>
    <row r="2" spans="1:13" ht="18.75" x14ac:dyDescent="0.25">
      <c r="B2" s="205"/>
      <c r="C2" s="205"/>
      <c r="D2" s="205"/>
      <c r="E2" s="205"/>
      <c r="F2" s="205"/>
      <c r="G2" s="205"/>
      <c r="H2" s="205"/>
    </row>
    <row r="3" spans="1:13" ht="18.75" x14ac:dyDescent="0.25">
      <c r="B3" s="205" t="s">
        <v>338</v>
      </c>
      <c r="C3" s="205"/>
      <c r="D3" s="205"/>
      <c r="E3" s="205"/>
      <c r="F3" s="205"/>
      <c r="G3" s="205"/>
      <c r="H3" s="205"/>
    </row>
    <row r="4" spans="1:13" ht="18.75" x14ac:dyDescent="0.25">
      <c r="B4" s="205" t="s">
        <v>398</v>
      </c>
      <c r="C4" s="205"/>
      <c r="D4" s="205"/>
      <c r="E4" s="205"/>
      <c r="F4" s="205"/>
      <c r="G4" s="205"/>
      <c r="H4" s="205"/>
    </row>
    <row r="5" spans="1:13" ht="18.75" x14ac:dyDescent="0.25">
      <c r="B5" s="205" t="s">
        <v>0</v>
      </c>
      <c r="C5" s="205"/>
      <c r="D5" s="205"/>
      <c r="E5" s="205"/>
      <c r="F5" s="205"/>
      <c r="G5" s="205"/>
      <c r="H5" s="205"/>
    </row>
    <row r="6" spans="1:13" ht="18.75" x14ac:dyDescent="0.3">
      <c r="B6" s="31"/>
      <c r="C6" s="66"/>
      <c r="D6" s="51"/>
      <c r="E6" s="51"/>
      <c r="F6" s="51"/>
      <c r="G6" s="31"/>
      <c r="H6" s="31"/>
    </row>
    <row r="7" spans="1:13" ht="56.25" x14ac:dyDescent="0.25">
      <c r="B7" s="31"/>
      <c r="C7" s="174"/>
      <c r="D7" s="184" t="s">
        <v>339</v>
      </c>
      <c r="E7" s="184" t="s">
        <v>340</v>
      </c>
      <c r="F7" s="184" t="s">
        <v>341</v>
      </c>
      <c r="G7" s="184" t="s">
        <v>342</v>
      </c>
      <c r="H7" s="184" t="s">
        <v>343</v>
      </c>
    </row>
    <row r="8" spans="1:13" ht="18.75" x14ac:dyDescent="0.3">
      <c r="B8" s="31"/>
      <c r="C8" s="174" t="s">
        <v>400</v>
      </c>
      <c r="D8" s="175">
        <v>51695326</v>
      </c>
      <c r="E8" s="176">
        <v>0</v>
      </c>
      <c r="F8" s="176">
        <v>0</v>
      </c>
      <c r="G8" s="177">
        <v>26974241.190000001</v>
      </c>
      <c r="H8" s="177">
        <f>SUM(D8,E8,F8,G8)</f>
        <v>78669567.189999998</v>
      </c>
      <c r="I8" s="11"/>
    </row>
    <row r="9" spans="1:13" customFormat="1" ht="18.75" x14ac:dyDescent="0.3">
      <c r="A9" s="14"/>
      <c r="B9" s="51"/>
      <c r="C9" s="174" t="s">
        <v>344</v>
      </c>
      <c r="D9" s="176"/>
      <c r="E9" s="176">
        <v>0</v>
      </c>
      <c r="F9" s="176"/>
      <c r="G9" s="176"/>
      <c r="H9" s="176">
        <f>SUM(D9,E9,F9,G9)</f>
        <v>0</v>
      </c>
      <c r="I9" s="14"/>
    </row>
    <row r="10" spans="1:13" customFormat="1" ht="18.75" x14ac:dyDescent="0.3">
      <c r="A10" s="14"/>
      <c r="B10" s="51"/>
      <c r="C10" s="174" t="s">
        <v>345</v>
      </c>
      <c r="D10" s="176"/>
      <c r="E10" s="176"/>
      <c r="F10" s="176" t="s">
        <v>11</v>
      </c>
      <c r="G10" s="176"/>
      <c r="H10" s="176"/>
      <c r="I10" s="14"/>
    </row>
    <row r="11" spans="1:13" ht="18.75" x14ac:dyDescent="0.3">
      <c r="B11" s="31"/>
      <c r="C11" s="174" t="s">
        <v>346</v>
      </c>
      <c r="D11" s="175"/>
      <c r="E11" s="176"/>
      <c r="F11" s="176"/>
      <c r="G11" s="177"/>
      <c r="H11" s="177"/>
      <c r="I11" s="11"/>
      <c r="J11" s="35"/>
    </row>
    <row r="12" spans="1:13" ht="18.75" x14ac:dyDescent="0.3">
      <c r="B12" s="31"/>
      <c r="C12" s="174" t="s">
        <v>81</v>
      </c>
      <c r="D12" s="175"/>
      <c r="E12" s="176"/>
      <c r="F12" s="176"/>
      <c r="G12" s="177">
        <v>-8419224.5899999999</v>
      </c>
      <c r="H12" s="177">
        <f>SUM(D12,E12,F12,G12)</f>
        <v>-8419224.5899999999</v>
      </c>
      <c r="I12" s="11"/>
    </row>
    <row r="13" spans="1:13" ht="18.75" x14ac:dyDescent="0.3">
      <c r="B13" s="31"/>
      <c r="C13" s="174" t="s">
        <v>401</v>
      </c>
      <c r="D13" s="178">
        <f>SUM(D8:D12)</f>
        <v>51695326</v>
      </c>
      <c r="E13" s="178">
        <f>SUM(E8:E12)</f>
        <v>0</v>
      </c>
      <c r="F13" s="178">
        <f>SUM(F8:F12)</f>
        <v>0</v>
      </c>
      <c r="G13" s="179">
        <f>SUM(G8:G12)</f>
        <v>18555016.600000001</v>
      </c>
      <c r="H13" s="179">
        <f>SUM(H8:H12)</f>
        <v>70250342.599999994</v>
      </c>
      <c r="I13" s="11"/>
      <c r="K13" s="35"/>
      <c r="M13" s="35"/>
    </row>
    <row r="14" spans="1:13" ht="18.75" hidden="1" x14ac:dyDescent="0.3">
      <c r="B14" s="31"/>
      <c r="C14" s="81" t="s">
        <v>11</v>
      </c>
      <c r="D14" s="83">
        <f>SUM(D9:D13)</f>
        <v>51695326</v>
      </c>
      <c r="E14" s="52"/>
      <c r="F14" s="82"/>
      <c r="G14" s="45">
        <v>39052659</v>
      </c>
      <c r="H14" s="84">
        <f>D14+F14+G14</f>
        <v>90747985</v>
      </c>
      <c r="I14" s="11"/>
      <c r="J14" s="35"/>
      <c r="K14" s="35"/>
    </row>
    <row r="15" spans="1:13" customFormat="1" ht="18.75" x14ac:dyDescent="0.3">
      <c r="A15" s="14"/>
      <c r="B15" s="51"/>
      <c r="C15" s="180" t="s">
        <v>344</v>
      </c>
      <c r="D15" s="176"/>
      <c r="E15" s="176">
        <v>0</v>
      </c>
      <c r="F15" s="176"/>
      <c r="G15" s="176"/>
      <c r="H15" s="176">
        <f>SUM(D15,E15,F15,G15)</f>
        <v>0</v>
      </c>
      <c r="I15" s="14"/>
      <c r="K15" s="33"/>
      <c r="M15" s="33"/>
    </row>
    <row r="16" spans="1:13" customFormat="1" ht="18.75" x14ac:dyDescent="0.3">
      <c r="A16" s="14"/>
      <c r="B16" s="51"/>
      <c r="C16" s="180" t="s">
        <v>345</v>
      </c>
      <c r="D16" s="176"/>
      <c r="E16" s="176"/>
      <c r="F16" s="176">
        <v>0</v>
      </c>
      <c r="G16" s="176"/>
      <c r="H16" s="176">
        <f>SUM(D16,E16,F16,G16)</f>
        <v>0</v>
      </c>
      <c r="I16" s="14"/>
    </row>
    <row r="17" spans="1:14" customFormat="1" ht="37.5" x14ac:dyDescent="0.3">
      <c r="A17" s="14"/>
      <c r="B17" s="51"/>
      <c r="C17" s="181" t="s">
        <v>347</v>
      </c>
      <c r="D17" s="176"/>
      <c r="E17" s="176"/>
      <c r="F17" s="176">
        <v>0</v>
      </c>
      <c r="G17" s="176"/>
      <c r="H17" s="176">
        <f>SUM(D17,E17,F17,G17)</f>
        <v>0</v>
      </c>
      <c r="I17" s="11"/>
      <c r="J17" s="32"/>
      <c r="K17" s="33"/>
    </row>
    <row r="18" spans="1:14" ht="18.75" x14ac:dyDescent="0.3">
      <c r="B18" s="31"/>
      <c r="C18" s="180" t="s">
        <v>346</v>
      </c>
      <c r="D18" s="176"/>
      <c r="E18" s="176"/>
      <c r="F18" s="176"/>
      <c r="G18" s="177">
        <v>1201105.48</v>
      </c>
      <c r="H18" s="182"/>
      <c r="I18" s="11"/>
      <c r="J18" s="26"/>
      <c r="K18" s="35"/>
      <c r="N18" s="85"/>
    </row>
    <row r="19" spans="1:14" ht="18.75" x14ac:dyDescent="0.3">
      <c r="B19" s="31"/>
      <c r="C19" s="180" t="s">
        <v>81</v>
      </c>
      <c r="D19" s="176"/>
      <c r="E19" s="176"/>
      <c r="F19" s="176"/>
      <c r="G19" s="177">
        <f>+' ERF-Rendimiento Financiero'!F27</f>
        <v>-7646175.4490677938</v>
      </c>
      <c r="H19" s="177">
        <f>SUM(D19,E19,F19,G19)</f>
        <v>-7646175.4490677938</v>
      </c>
      <c r="J19" s="26"/>
      <c r="K19" s="85"/>
      <c r="L19" s="85"/>
    </row>
    <row r="20" spans="1:14" ht="18.75" x14ac:dyDescent="0.25">
      <c r="B20" s="66"/>
      <c r="C20" s="183" t="s">
        <v>389</v>
      </c>
      <c r="D20" s="179">
        <f>D14+D18</f>
        <v>51695326</v>
      </c>
      <c r="E20" s="179">
        <f>SUM(E19,E13)</f>
        <v>0</v>
      </c>
      <c r="F20" s="179">
        <f>SUM(F19,F13)</f>
        <v>0</v>
      </c>
      <c r="G20" s="179">
        <f>G13+G15+G16+G17+G18+G19</f>
        <v>12109946.630932208</v>
      </c>
      <c r="H20" s="179">
        <f>H13+H15+H16+H17+H18+H19</f>
        <v>62604167.1509322</v>
      </c>
      <c r="K20" s="35"/>
      <c r="M20" s="35"/>
    </row>
    <row r="21" spans="1:14" ht="18.75" x14ac:dyDescent="0.3">
      <c r="B21" s="66"/>
      <c r="C21" s="31"/>
      <c r="D21" s="52"/>
      <c r="E21" s="52"/>
      <c r="F21" s="52"/>
      <c r="G21" s="45"/>
      <c r="H21" s="45"/>
      <c r="I21" s="11"/>
      <c r="K21" s="35"/>
    </row>
    <row r="22" spans="1:14" ht="18.75" x14ac:dyDescent="0.25">
      <c r="B22" s="31"/>
      <c r="C22" s="31"/>
      <c r="D22" s="31"/>
      <c r="E22" s="31"/>
      <c r="F22" s="31"/>
      <c r="G22" s="31"/>
      <c r="H22" s="13"/>
      <c r="I22" s="20"/>
      <c r="J22" s="35"/>
      <c r="L22" s="35"/>
    </row>
    <row r="23" spans="1:14" ht="18.75" hidden="1" x14ac:dyDescent="0.3">
      <c r="B23" s="31"/>
      <c r="C23" s="31" t="s">
        <v>348</v>
      </c>
      <c r="D23" s="31"/>
      <c r="E23" s="31"/>
      <c r="F23" s="51"/>
      <c r="G23" s="45"/>
      <c r="H23" s="56"/>
    </row>
    <row r="24" spans="1:14" ht="18.75" x14ac:dyDescent="0.3">
      <c r="B24" s="31"/>
      <c r="C24" s="31"/>
      <c r="D24" s="51"/>
      <c r="E24" s="51"/>
      <c r="F24" s="51"/>
      <c r="G24" s="45"/>
      <c r="H24" s="31"/>
    </row>
    <row r="25" spans="1:14" ht="18.75" x14ac:dyDescent="0.3">
      <c r="B25" s="31"/>
      <c r="C25" s="31"/>
      <c r="D25" s="51"/>
      <c r="E25" s="51"/>
      <c r="F25" s="51"/>
      <c r="G25" s="45"/>
      <c r="H25" s="86"/>
    </row>
    <row r="26" spans="1:14" ht="18.75" hidden="1" x14ac:dyDescent="0.25">
      <c r="B26" s="31"/>
      <c r="C26" s="208" t="s">
        <v>24</v>
      </c>
      <c r="D26" s="208"/>
      <c r="E26" s="208"/>
      <c r="F26" s="208"/>
      <c r="G26" s="208"/>
      <c r="H26" s="208"/>
    </row>
    <row r="27" spans="1:14" ht="18.75" x14ac:dyDescent="0.25">
      <c r="A27" s="205" t="s">
        <v>22</v>
      </c>
      <c r="B27" s="205"/>
      <c r="C27" s="205"/>
      <c r="D27" s="205"/>
      <c r="E27" s="205"/>
      <c r="F27" s="205"/>
      <c r="G27" s="205"/>
      <c r="H27" s="205"/>
      <c r="I27" s="205"/>
    </row>
    <row r="28" spans="1:14" ht="18.75" x14ac:dyDescent="0.25">
      <c r="A28" s="206" t="s">
        <v>23</v>
      </c>
      <c r="B28" s="206"/>
      <c r="C28" s="206"/>
      <c r="D28" s="206"/>
      <c r="E28" s="206"/>
      <c r="F28" s="206"/>
      <c r="G28" s="206"/>
      <c r="H28" s="206"/>
      <c r="I28" s="206"/>
    </row>
    <row r="29" spans="1:14" ht="18.75" hidden="1" x14ac:dyDescent="0.3">
      <c r="B29" s="31"/>
      <c r="C29" s="208" t="s">
        <v>349</v>
      </c>
      <c r="D29" s="208"/>
      <c r="E29" s="51"/>
      <c r="F29" s="51"/>
      <c r="G29" s="208" t="s">
        <v>350</v>
      </c>
      <c r="H29" s="208"/>
    </row>
    <row r="30" spans="1:14" ht="18.75" x14ac:dyDescent="0.3">
      <c r="B30" s="31"/>
      <c r="C30" s="31"/>
      <c r="D30" s="51"/>
      <c r="E30" s="51"/>
      <c r="F30" s="51"/>
      <c r="G30" s="31"/>
      <c r="H30" s="31"/>
    </row>
  </sheetData>
  <autoFilter ref="C7:I23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35433070866141736" right="0.35433070866141736" top="1.4173228346456694" bottom="0.35433070866141736" header="0.31496062992125984" footer="0.31496062992125984"/>
  <pageSetup scale="72" orientation="landscape" horizontalDpi="300" verticalDpi="300" r:id="rId1"/>
  <rowBreaks count="1" manualBreakCount="1">
    <brk id="31" min="1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MARZO</vt:lpstr>
      <vt:lpstr>BC Balance Comprobación</vt:lpstr>
      <vt:lpstr>Hoja1</vt:lpstr>
      <vt:lpstr> ERF-Rendimiento Financiero</vt:lpstr>
      <vt:lpstr>EFE-Flujo de Efectivo</vt:lpstr>
      <vt:lpstr>ECANP-Cambio Patrimonio</vt:lpstr>
      <vt:lpstr>' ERF-Rendimiento Financiero'!Área_de_impresión</vt:lpstr>
      <vt:lpstr>'BC Balance Comprobación'!Área_de_impresión</vt:lpstr>
      <vt:lpstr>'ECANP-Cambio Patrimonio'!Área_de_impresión</vt:lpstr>
      <vt:lpstr>'EFE-Flujo de Efectivo'!Área_de_impresión</vt:lpstr>
      <vt:lpstr>'BC Balance Comprobación'!Títulos_a_imprimir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Usuario</cp:lastModifiedBy>
  <cp:lastPrinted>2022-04-07T19:45:04Z</cp:lastPrinted>
  <dcterms:created xsi:type="dcterms:W3CDTF">2022-04-05T13:27:07Z</dcterms:created>
  <dcterms:modified xsi:type="dcterms:W3CDTF">2022-04-08T13:00:48Z</dcterms:modified>
</cp:coreProperties>
</file>